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5670" tabRatio="864" activeTab="0"/>
  </bookViews>
  <sheets>
    <sheet name="INICIO" sheetId="1" r:id="rId1"/>
    <sheet name="PREPARACION" sheetId="2" r:id="rId2"/>
    <sheet name="ALTERNATIVAS" sheetId="3" r:id="rId3"/>
    <sheet name="EVALUACION PRIVADA" sheetId="4" r:id="rId4"/>
    <sheet name="EVALUACION SOCIOECONOMICA" sheetId="5" r:id="rId5"/>
    <sheet name="INDICADORES" sheetId="6" r:id="rId6"/>
    <sheet name="FUENTES DE FINANCIACION" sheetId="7" r:id="rId7"/>
    <sheet name="ANALISIS DE SENSIBILIDAD" sheetId="8" r:id="rId8"/>
    <sheet name="CONCLUSIONES Y RECOMENDACIONES" sheetId="9" r:id="rId9"/>
  </sheets>
  <externalReferences>
    <externalReference r:id="rId12"/>
    <externalReference r:id="rId13"/>
  </externalReferences>
  <definedNames>
    <definedName name="AlternativaSeleccionada">'ANALISIS DE SENSIBILIDAD'!#REF!</definedName>
    <definedName name="AltSelected">'ANALISIS DE SENSIBILIDAD'!#REF!</definedName>
    <definedName name="AñoBase">'PREPARACION'!$H$14</definedName>
    <definedName name="años1">'PREPARACION'!$H$11</definedName>
    <definedName name="años2">'EVALUACION PRIVADA'!#REF!</definedName>
    <definedName name="años3">'EVALUACION PRIVADA'!#REF!</definedName>
    <definedName name="AñosInversion">'PREPARACION'!$H$13</definedName>
    <definedName name="AñosOperacion">'PREPARACION'!$H$12</definedName>
    <definedName name="Area">'PREPARACION'!$B$1</definedName>
    <definedName name="_xlnm.Print_Area" localSheetId="3">'EVALUACION PRIVADA'!$A$1:$J$119</definedName>
    <definedName name="_xlnm.Print_Area" localSheetId="1">'PREPARACION'!$A$1:$O$339</definedName>
    <definedName name="bcaeinicial1">'EVALUACION PRIVADA'!$B$78</definedName>
    <definedName name="bcaeinicial2">'EVALUACION PRIVADA'!#REF!</definedName>
    <definedName name="bcaeinicial3">'EVALUACION PRIVADA'!#REF!</definedName>
    <definedName name="bcaminicial1">'EVALUACION PRIVADA'!$B$79</definedName>
    <definedName name="bcaminicial2">'EVALUACION PRIVADA'!#REF!</definedName>
    <definedName name="bcaminicial3">'EVALUACION PRIVADA'!#REF!</definedName>
    <definedName name="BeneficioCostoPrivado">'EVALUACION PRIVADA'!$G$88</definedName>
    <definedName name="BeneficioCostoSocial">'EVALUACION SOCIOECONOMICA'!$G$79</definedName>
    <definedName name="caep1">'EVALUACION PRIVADA'!$D$86</definedName>
    <definedName name="caep2">'EVALUACION PRIVADA'!$D$93</definedName>
    <definedName name="caep3">'EVALUACION PRIVADA'!#REF!</definedName>
    <definedName name="caes1">'EVALUACION SOCIOECONOMICA'!$D$77</definedName>
    <definedName name="caes2">'EVALUACION SOCIOECONOMICA'!$D$84</definedName>
    <definedName name="caes3">'EVALUACION SOCIOECONOMICA'!#REF!</definedName>
    <definedName name="CambioInversion">'EVALUACION PRIVADA'!$H$84</definedName>
    <definedName name="CambioOperacion">'EVALUACION PRIVADA'!$H$85</definedName>
    <definedName name="CCapacidadSP">'PREPARACION'!#REF!</definedName>
    <definedName name="CDeficitSA">'PREPARACION'!$B$189</definedName>
    <definedName name="CDeficitSP">'PREPARACION'!#REF!</definedName>
    <definedName name="CDemandaSA">'PREPARACION'!$B$165</definedName>
    <definedName name="CDemandaSBO">'PREPARACION'!#REF!</definedName>
    <definedName name="CDemandaSP">'PREPARACION'!#REF!</definedName>
    <definedName name="celda1">'EVALUACION PRIVADA'!$E$19</definedName>
    <definedName name="celda10">'PREPARACION'!$M$203</definedName>
    <definedName name="celda11">'PREPARACION'!$O$232</definedName>
    <definedName name="celda12">'PREPARACION'!$I$249</definedName>
    <definedName name="celda1a">'EVALUACION PRIVADA'!$E$20</definedName>
    <definedName name="celda1b">'EVALUACION PRIVADA'!$F$21</definedName>
    <definedName name="celda2">'EVALUACION PRIVADA'!$D$39</definedName>
    <definedName name="celda21">'EVALUACION PRIVADA'!$D$97</definedName>
    <definedName name="celda21a">'EVALUACION PRIVADA'!$D$98</definedName>
    <definedName name="celda21b">'EVALUACION PRIVADA'!$E$99</definedName>
    <definedName name="celda22">'EVALUACION PRIVADA'!#REF!</definedName>
    <definedName name="celda22a">'EVALUACION PRIVADA'!#REF!</definedName>
    <definedName name="celda22b">'EVALUACION PRIVADA'!#REF!</definedName>
    <definedName name="celda22c">'EVALUACION PRIVADA'!#REF!</definedName>
    <definedName name="celda22d">'EVALUACION PRIVADA'!#REF!</definedName>
    <definedName name="celda22e">'EVALUACION PRIVADA'!#REF!</definedName>
    <definedName name="celda22f">'EVALUACION PRIVADA'!#REF!</definedName>
    <definedName name="celda22g">'EVALUACION PRIVADA'!#REF!</definedName>
    <definedName name="celda22h">'EVALUACION PRIVADA'!#REF!</definedName>
    <definedName name="celda23">'EVALUACION SOCIOECONOMICA'!#REF!</definedName>
    <definedName name="celda23a">'EVALUACION SOCIOECONOMICA'!#REF!</definedName>
    <definedName name="celda23b">'EVALUACION SOCIOECONOMICA'!#REF!</definedName>
    <definedName name="celda23c">'EVALUACION SOCIOECONOMICA'!#REF!</definedName>
    <definedName name="celda23d">'EVALUACION SOCIOECONOMICA'!#REF!</definedName>
    <definedName name="celda23e">'EVALUACION SOCIOECONOMICA'!#REF!</definedName>
    <definedName name="celda23f">'EVALUACION SOCIOECONOMICA'!#REF!</definedName>
    <definedName name="celda23g">'EVALUACION SOCIOECONOMICA'!#REF!</definedName>
    <definedName name="celda23h">'EVALUACION SOCIOECONOMICA'!#REF!</definedName>
    <definedName name="celda2a">'EVALUACION PRIVADA'!$D$40</definedName>
    <definedName name="celda2b">'EVALUACION PRIVADA'!$E$42</definedName>
    <definedName name="celda2c">'EVALUACION PRIVADA'!$E$78</definedName>
    <definedName name="celda2d">'EVALUACION PRIVADA'!$E$61</definedName>
    <definedName name="celda2e">'EVALUACION PRIVADA'!$E$64</definedName>
    <definedName name="celda2f">'EVALUACION PRIVADA'!$E$67</definedName>
    <definedName name="celda2g">'EVALUACION PRIVADA'!$E$70</definedName>
    <definedName name="celda2h">'EVALUACION PRIVADA'!$E$82</definedName>
    <definedName name="celda3">'EVALUACION SOCIOECONOMICA'!$D$30</definedName>
    <definedName name="celda31">'EVALUACION PRIVADA'!#REF!</definedName>
    <definedName name="celda31a">'EVALUACION PRIVADA'!#REF!</definedName>
    <definedName name="celda31b">'EVALUACION PRIVADA'!#REF!</definedName>
    <definedName name="celda32">'EVALUACION PRIVADA'!#REF!</definedName>
    <definedName name="celda32a">'EVALUACION PRIVADA'!#REF!</definedName>
    <definedName name="celda32b">'EVALUACION PRIVADA'!#REF!</definedName>
    <definedName name="celda32c">'EVALUACION PRIVADA'!#REF!</definedName>
    <definedName name="celda32d">'EVALUACION PRIVADA'!#REF!</definedName>
    <definedName name="celda32e">'EVALUACION PRIVADA'!#REF!</definedName>
    <definedName name="celda32f">'EVALUACION PRIVADA'!#REF!</definedName>
    <definedName name="celda32g">'EVALUACION PRIVADA'!#REF!</definedName>
    <definedName name="celda32h">'EVALUACION PRIVADA'!#REF!</definedName>
    <definedName name="celda33">'EVALUACION SOCIOECONOMICA'!#REF!</definedName>
    <definedName name="celda33a">'EVALUACION SOCIOECONOMICA'!#REF!</definedName>
    <definedName name="celda33b">'EVALUACION SOCIOECONOMICA'!#REF!</definedName>
    <definedName name="celda33c">'EVALUACION SOCIOECONOMICA'!#REF!</definedName>
    <definedName name="celda33d">'EVALUACION SOCIOECONOMICA'!#REF!</definedName>
    <definedName name="celda33e">'EVALUACION SOCIOECONOMICA'!#REF!</definedName>
    <definedName name="celda33f">'EVALUACION SOCIOECONOMICA'!#REF!</definedName>
    <definedName name="celda33g">'EVALUACION SOCIOECONOMICA'!#REF!</definedName>
    <definedName name="celda33h">'EVALUACION SOCIOECONOMICA'!#REF!</definedName>
    <definedName name="celda3a">'EVALUACION SOCIOECONOMICA'!$D$31</definedName>
    <definedName name="celda3b">'EVALUACION SOCIOECONOMICA'!$E$33</definedName>
    <definedName name="celda3c">'EVALUACION SOCIOECONOMICA'!$E$37</definedName>
    <definedName name="celda3d">'EVALUACION SOCIOECONOMICA'!$E$52</definedName>
    <definedName name="celda3e">'EVALUACION SOCIOECONOMICA'!$E$55</definedName>
    <definedName name="celda3f">'EVALUACION SOCIOECONOMICA'!$E$58</definedName>
    <definedName name="celda3g">'EVALUACION SOCIOECONOMICA'!$E$61</definedName>
    <definedName name="celda3h">'EVALUACION SOCIOECONOMICA'!$E$73</definedName>
    <definedName name="celda3i">'EVALUACION SOCIOECONOMICA'!$E$69</definedName>
    <definedName name="celdacontrol1">'EVALUACION SOCIOECONOMICA'!$D$33</definedName>
    <definedName name="celdacontrol2">'EVALUACION SOCIOECONOMICA'!#REF!</definedName>
    <definedName name="celdacontrol3">'EVALUACION SOCIOECONOMICA'!#REF!</definedName>
    <definedName name="CeldaDemanda">'PREPARACION'!$B$165</definedName>
    <definedName name="CeldaDemandaSA">'PREPARACION'!$B$165</definedName>
    <definedName name="CeldaInstituciones">'PREPARACION'!$B$144</definedName>
    <definedName name="celdatotal1">'[2]EVALUACIÓN SOCIOECONÓMICA'!$E$31</definedName>
    <definedName name="celdatotal2">'[2]EVALUACIÓN SOCIOECONÓMICA'!$E$69</definedName>
    <definedName name="celdatotal3">'[2]EVALUACIÓN SOCIOECONÓMICA'!$E$103</definedName>
    <definedName name="celdax">'PREPARACION'!#REF!</definedName>
    <definedName name="COfertaSA">'PREPARACION'!$B$174</definedName>
    <definedName name="COfertaSBO">'PREPARACION'!#REF!</definedName>
    <definedName name="COfertaSP">'PREPARACION'!$B$238</definedName>
    <definedName name="Comentario">'PREPARACION'!$B$16</definedName>
    <definedName name="comienzo">'PREPARACION'!$A$6</definedName>
    <definedName name="costos">'EVALUACION SOCIOECONOMICA'!$A$26</definedName>
    <definedName name="eentre30_60">'PREPARACION'!$B$345</definedName>
    <definedName name="eentre60_120">'PREPARACION'!$B$346</definedName>
    <definedName name="emas120">'PREPARACION'!$B$347</definedName>
    <definedName name="emas30">'PREPARACION'!$B$347</definedName>
    <definedName name="emenos30">'PREPARACION'!$B$344</definedName>
    <definedName name="Esc1">'ANALISIS DE SENSIBILIDAD'!$A$7</definedName>
    <definedName name="Esc2">'ANALISIS DE SENSIBILIDAD'!$A$23</definedName>
    <definedName name="Esc3">'ANALISIS DE SENSIBILIDAD'!$A$33</definedName>
    <definedName name="EstimadoPrivado">'INDICADORES'!$C$17</definedName>
    <definedName name="EstimadoSocial">'INDICADORES'!$I$17</definedName>
    <definedName name="FCapacidadSP">'PREPARACION'!#REF!</definedName>
    <definedName name="FDeficitSA">'PREPARACION'!$B$189:$N$189</definedName>
    <definedName name="FDeficitSP">'PREPARACION'!#REF!</definedName>
    <definedName name="FDemandaSA">'PREPARACION'!$B$165:$N$165</definedName>
    <definedName name="FDemandaSBO">'PREPARACION'!#REF!</definedName>
    <definedName name="FDemandaSP">'PREPARACION'!#REF!</definedName>
    <definedName name="FilaDemandaSA">'PREPARACION'!$B$165:$N$165</definedName>
    <definedName name="FilaInstituciones">'PREPARACION'!$B$144:$N$144</definedName>
    <definedName name="flujo">'EVALUACION PRIVADA'!$A$95</definedName>
    <definedName name="FOfertaSA">'PREPARACION'!$B$174:$N$174</definedName>
    <definedName name="FOfertaSP">'PREPARACION'!$B$238:$O$238</definedName>
    <definedName name="ientre30_60">'PREPARACION'!$H$345</definedName>
    <definedName name="ientre60_120">'PREPARACION'!$H$346</definedName>
    <definedName name="imas120">'PREPARACION'!$H$347</definedName>
    <definedName name="imenos30">'PREPARACION'!$H$344</definedName>
    <definedName name="Impacto">'PREPARACION'!$K$323</definedName>
    <definedName name="Ind11">'ANALISIS DE SENSIBILIDAD'!$D$18</definedName>
    <definedName name="Ind110">'ANALISIS DE SENSIBILIDAD'!$D$27</definedName>
    <definedName name="Ind12">'ANALISIS DE SENSIBILIDAD'!$D$19</definedName>
    <definedName name="Ind13">'ANALISIS DE SENSIBILIDAD'!$D$20</definedName>
    <definedName name="Ind14">'ANALISIS DE SENSIBILIDAD'!$D$21</definedName>
    <definedName name="Ind15">'ANALISIS DE SENSIBILIDAD'!$D$22</definedName>
    <definedName name="Ind16">'ANALISIS DE SENSIBILIDAD'!$D$23</definedName>
    <definedName name="Ind17">'ANALISIS DE SENSIBILIDAD'!$D$24</definedName>
    <definedName name="Ind18">'ANALISIS DE SENSIBILIDAD'!$D$25</definedName>
    <definedName name="Ind19">'ANALISIS DE SENSIBILIDAD'!$D$26</definedName>
    <definedName name="Ind19Error">'ANALISIS DE SENSIBILIDAD'!$B$1</definedName>
    <definedName name="Ind21">'ANALISIS DE SENSIBILIDAD'!$I$18</definedName>
    <definedName name="Ind210">'ANALISIS DE SENSIBILIDAD'!$I$27</definedName>
    <definedName name="Ind22">'ANALISIS DE SENSIBILIDAD'!$I$19</definedName>
    <definedName name="Ind23">'ANALISIS DE SENSIBILIDAD'!$I$20</definedName>
    <definedName name="Ind24">'ANALISIS DE SENSIBILIDAD'!$I$21</definedName>
    <definedName name="Ind25">'ANALISIS DE SENSIBILIDAD'!$I$22</definedName>
    <definedName name="Ind26">'ANALISIS DE SENSIBILIDAD'!$I$23</definedName>
    <definedName name="Ind27">'ANALISIS DE SENSIBILIDAD'!$I$24</definedName>
    <definedName name="Ind28">'ANALISIS DE SENSIBILIDAD'!$I$25</definedName>
    <definedName name="Ind29">'ANALISIS DE SENSIBILIDAD'!$I$26</definedName>
    <definedName name="IndCE11">'ANALISIS DE SENSIBILIDAD'!$D$33</definedName>
    <definedName name="IndCE110">'ANALISIS DE SENSIBILIDAD'!#REF!</definedName>
    <definedName name="IndCE111">'ANALISIS DE SENSIBILIDAD'!#REF!</definedName>
    <definedName name="IndCE112">'ANALISIS DE SENSIBILIDAD'!$D$32</definedName>
    <definedName name="IndCE12">'ANALISIS DE SENSIBILIDAD'!#REF!</definedName>
    <definedName name="IndCE13">'ANALISIS DE SENSIBILIDAD'!#REF!</definedName>
    <definedName name="IndCE14">'ANALISIS DE SENSIBILIDAD'!$D$34</definedName>
    <definedName name="IndCE15">'ANALISIS DE SENSIBILIDAD'!#REF!</definedName>
    <definedName name="IndCE16">'ANALISIS DE SENSIBILIDAD'!#REF!</definedName>
    <definedName name="IndCE17">'ANALISIS DE SENSIBILIDAD'!$D$31</definedName>
    <definedName name="IndCE18">'ANALISIS DE SENSIBILIDAD'!$D$35</definedName>
    <definedName name="IndCE19">'ANALISIS DE SENSIBILIDAD'!#REF!</definedName>
    <definedName name="IndCE21">'ANALISIS DE SENSIBILIDAD'!$I$33</definedName>
    <definedName name="IndCE210">'ANALISIS DE SENSIBILIDAD'!#REF!</definedName>
    <definedName name="IndCE211">'ANALISIS DE SENSIBILIDAD'!#REF!</definedName>
    <definedName name="IndCE212">'ANALISIS DE SENSIBILIDAD'!$I$32</definedName>
    <definedName name="IndCE22">'ANALISIS DE SENSIBILIDAD'!#REF!</definedName>
    <definedName name="IndCE23">'ANALISIS DE SENSIBILIDAD'!#REF!</definedName>
    <definedName name="IndCE24">'ANALISIS DE SENSIBILIDAD'!$I$34</definedName>
    <definedName name="IndCE25">'ANALISIS DE SENSIBILIDAD'!#REF!</definedName>
    <definedName name="IndCE26">'ANALISIS DE SENSIBILIDAD'!#REF!</definedName>
    <definedName name="IndCE27">'ANALISIS DE SENSIBILIDAD'!$I$31</definedName>
    <definedName name="IndCE28">'ANALISIS DE SENSIBILIDAD'!$I$35</definedName>
    <definedName name="IndCE29">'ANALISIS DE SENSIBILIDAD'!#REF!</definedName>
    <definedName name="inicial">'PREPARACION'!$D$323</definedName>
    <definedName name="interes">'EVALUACION SOCIOECONOMICA'!$D$13</definedName>
    <definedName name="interesprivado">'EVALUACION PRIVADA'!$E$9</definedName>
    <definedName name="interessocial">'EVALUACION SOCIOECONOMICA'!$F$8</definedName>
    <definedName name="KmdeRed">'[1]EVALUACIÓN PRIVADA'!$F$11</definedName>
    <definedName name="KMdeRed2">'[1]EVALUACIÓN PRIVADA'!$F$80</definedName>
    <definedName name="KMdeRed3">'[1]EVALUACIÓN PRIVADA'!$F$148</definedName>
    <definedName name="MarkAlt1">'ALTERNATIVAS'!$A$8</definedName>
    <definedName name="MarkAlt1EP">'EVALUACION PRIVADA'!$A$13</definedName>
    <definedName name="MarkAlt1SE">'EVALUACION SOCIOECONOMICA'!$A$16</definedName>
    <definedName name="MarkAlt2">'ALTERNATIVAS'!#REF!</definedName>
    <definedName name="MarkAlt2EP">'EVALUACION PRIVADA'!#REF!</definedName>
    <definedName name="MarkAlt2SE">'EVALUACION SOCIOECONOMICA'!#REF!</definedName>
    <definedName name="MarkAlt3">'ALTERNATIVAS'!#REF!</definedName>
    <definedName name="MarkAlt3EP">'EVALUACION PRIVADA'!#REF!</definedName>
    <definedName name="MarkAlt3SE">'EVALUACION SOCIOECONOMICA'!#REF!</definedName>
    <definedName name="MarkCaracterizacion">'PREPARACION'!$B$54</definedName>
    <definedName name="MarkIA">'PREPARACION'!$B$320</definedName>
    <definedName name="MarkImpacto">'PREPARACION'!$A$318</definedName>
    <definedName name="MarkInicioPriv">L12C1</definedName>
    <definedName name="MarkProblem">'PREPARACION'!$B$269</definedName>
    <definedName name="MarkProblema">'PREPARACION'!$B$269</definedName>
    <definedName name="MarkSA">'PREPARACION'!$B$101</definedName>
    <definedName name="MarkSEAlt3">'EVALUACION SOCIOECONOMICA'!#REF!</definedName>
    <definedName name="MarkSEAlt32">'EVALUACION SOCIOECONOMICA'!#REF!</definedName>
    <definedName name="MarkSSP">'PREPARACION'!$B$202</definedName>
    <definedName name="MarkTitulo">'PREPARACION'!$B$8</definedName>
    <definedName name="numero">'[2]PREPARACION'!$F$10</definedName>
    <definedName name="OtrosIndicadores">'INDICADORES'!$A$30</definedName>
    <definedName name="PoblacionAfectada">'PREPARACION'!$J$139</definedName>
    <definedName name="PorcentajeCubierto">'PREPARACION'!$E$265</definedName>
    <definedName name="Potencia">'[1]EVALUACIÓN PRIVADA'!$F$10</definedName>
    <definedName name="Potencia2">'[1]EVALUACIÓN PRIVADA'!$F$79</definedName>
    <definedName name="Potencia3">'[1]EVALUACIÓN PRIVADA'!$F$147</definedName>
    <definedName name="Privada">'EVALUACION PRIVADA'!$A$6</definedName>
    <definedName name="producto">'[2]ALTERNATIVAS'!$G$47</definedName>
    <definedName name="producto2">'[2]ALTERNATIVAS'!$G$96</definedName>
    <definedName name="producto3">'[2]ALTERNATIVAS'!$G$145</definedName>
    <definedName name="Proyeccion">'EVALUACION PRIVADA'!$E$21</definedName>
    <definedName name="Rango1">'EVALUACION PRIVADA'!$A$77</definedName>
    <definedName name="Rango2">'EVALUACION PRIVADA'!$A$78</definedName>
    <definedName name="Rango3">'EVALUACION PRIVADA'!$A$79</definedName>
    <definedName name="RitmoDeCrecimiento">'PREPARACION'!$L$139</definedName>
    <definedName name="rpcdivisa">'EVALUACION SOCIOECONOMICA'!$D$8</definedName>
    <definedName name="rpcmoc">'EVALUACION SOCIOECONOMICA'!$D$12</definedName>
    <definedName name="rpcmoncr">'EVALUACION SOCIOECONOMICA'!$D$10</definedName>
    <definedName name="rpcmoncu">'EVALUACION SOCIOECONOMICA'!$D$9</definedName>
    <definedName name="rpcmosemi">'EVALUACION SOCIOECONOMICA'!$D$11</definedName>
    <definedName name="sel1">'EVALUACION PRIVADA'!$E$19:$E$34</definedName>
    <definedName name="sel10">'PREPARACION'!$M$203:$M$230</definedName>
    <definedName name="sel11">'PREPARACION'!$O$232:$O$247</definedName>
    <definedName name="sel12">'PREPARACION'!$I$249:$I$263</definedName>
    <definedName name="sel2">'EVALUACION PRIVADA'!$D$39:$D$82</definedName>
    <definedName name="sel21">'EVALUACION PRIVADA'!$D$97:$D$118</definedName>
    <definedName name="sel21a">'EVALUACION PRIVADA'!$D$99:$D$118</definedName>
    <definedName name="sel22">'EVALUACION PRIVADA'!#REF!</definedName>
    <definedName name="sel23">'EVALUACION SOCIOECONOMICA'!#REF!</definedName>
    <definedName name="sel3">'EVALUACION SOCIOECONOMICA'!$D$30:$D$73</definedName>
    <definedName name="sel31">'EVALUACION PRIVADA'!#REF!</definedName>
    <definedName name="sel32">'EVALUACION PRIVADA'!#REF!</definedName>
    <definedName name="sel33">'EVALUACION SOCIOECONOMICA'!#REF!</definedName>
    <definedName name="sel4">'EVALUACION SOCIOECONOMICA'!$E$74:$E$74</definedName>
    <definedName name="sel41">'EVALUACION SOCIOECONOMICA'!$D$33:$D$71</definedName>
    <definedName name="sel42">'EVALUACION SOCIOECONOMICA'!#REF!</definedName>
    <definedName name="sel43">'EVALUACION SOCIOECONOMICA'!#REF!</definedName>
    <definedName name="serv1">'PREPARACION'!$B$153</definedName>
    <definedName name="serv10">'PREPARACION'!$B$165</definedName>
    <definedName name="serv11">'PREPARACION'!$B$166</definedName>
    <definedName name="serv12">'PREPARACION'!$B$167</definedName>
    <definedName name="serv2">'PREPARACION'!$B$154</definedName>
    <definedName name="serv3">'PREPARACION'!$B$155</definedName>
    <definedName name="serv4">'PREPARACION'!$B$157</definedName>
    <definedName name="serv5">'PREPARACION'!$B$158</definedName>
    <definedName name="serv6">'PREPARACION'!$B$159</definedName>
    <definedName name="serv7">'PREPARACION'!$B$161</definedName>
    <definedName name="serv8">'PREPARACION'!$B$162</definedName>
    <definedName name="serv9">'PREPARACION'!$B$164</definedName>
    <definedName name="Tamaño">'PREPARACION'!$H$43</definedName>
    <definedName name="TamañoRef">'PREPARACION'!$H$45</definedName>
    <definedName name="TamañoTotal">'PREPARACION'!$H$47</definedName>
    <definedName name="Tarifa">'[1]EVALUACIÓN PRIVADA'!$F$9</definedName>
    <definedName name="Tarifa2">'[1]EVALUACIÓN PRIVADA'!$F$78</definedName>
    <definedName name="Tarifa3">'[1]EVALUACIÓN PRIVADA'!$F$146</definedName>
    <definedName name="temp">'EVALUACION PRIVADA'!#REF!</definedName>
    <definedName name="temp1">'EVALUACION PRIVADA'!#REF!</definedName>
    <definedName name="Tipo">'PREPARACION'!$C$1</definedName>
    <definedName name="TipodeCambio">'EVALUACION PRIVADA'!$E$14</definedName>
    <definedName name="tirp">'EVALUACION PRIVADA'!$D$87</definedName>
    <definedName name="tirs">'EVALUACION SOCIOECONOMICA'!$D$78</definedName>
    <definedName name="tot1">'EVALUACION PRIVADA'!$E$77</definedName>
    <definedName name="tot2">'EVALUACION PRIVADA'!#REF!</definedName>
    <definedName name="tot3">'EVALUACION PRIVADA'!#REF!</definedName>
    <definedName name="Total1">'[1]EVALUACIÓN PRIVADA'!$J$67:$K$67</definedName>
    <definedName name="TotalAtenciones">'PREPARACION'!$L$302</definedName>
    <definedName name="TotalInversionPrivada">'EVALUACION PRIVADA'!$E$68</definedName>
    <definedName name="TotalInversionSocial">'EVALUACION SOCIOECONOMICA'!$E$59</definedName>
    <definedName name="TotalOperacionPrivada">'EVALUACION PRIVADA'!$E$76</definedName>
    <definedName name="TotalOperacionSocial">'EVALUACION SOCIOECONOMICA'!$E$67</definedName>
    <definedName name="usuarios">'[1]EVALUACIÓN SOCIOECONÓMICA'!$F$17</definedName>
    <definedName name="usuarios2">'[1]EVALUACIÓN SOCIOECONÓMICA'!$F$78</definedName>
    <definedName name="usuarios3">'[1]EVALUACIÓN SOCIOECONÓMICA'!$F$139</definedName>
    <definedName name="vacp1">'EVALUACION PRIVADA'!$D$84</definedName>
    <definedName name="vacp2">'EVALUACION PRIVADA'!$D$89</definedName>
    <definedName name="vacp3">'EVALUACION PRIVADA'!$D$90</definedName>
    <definedName name="vacp4">'EVALUACION PRIVADA'!$D$91</definedName>
    <definedName name="vacp5">'EVALUACION PRIVADA'!$D$92</definedName>
    <definedName name="vacs1">'EVALUACION SOCIOECONOMICA'!$D$75</definedName>
    <definedName name="vacs2">'EVALUACION SOCIOECONOMICA'!$D$80</definedName>
    <definedName name="vacs3">'EVALUACION SOCIOECONOMICA'!$D$81</definedName>
    <definedName name="vacs4">'EVALUACION SOCIOECONOMICA'!$D$82</definedName>
    <definedName name="vacs5">'EVALUACION SOCIOECONOMICA'!$D$83</definedName>
    <definedName name="vaip">'EVALUACION PRIVADA'!$D$88</definedName>
    <definedName name="vais">'EVALUACION SOCIOECONOMICA'!$D$79</definedName>
    <definedName name="vanp1">'EVALUACION PRIVADA'!$D$85</definedName>
    <definedName name="vanp2">'EVALUACION PRIVADA'!#REF!</definedName>
    <definedName name="vanp3">'EVALUACION PRIVADA'!#REF!</definedName>
    <definedName name="vans1">'EVALUACION SOCIOECONOMICA'!$D$76</definedName>
    <definedName name="vans2">'EVALUACION SOCIOECONOMICA'!#REF!</definedName>
    <definedName name="vans3">'EVALUACION SOCIOECONOMICA'!#REF!</definedName>
    <definedName name="variacionatenciones">'ANALISIS DE SENSIBILIDAD'!$E$13</definedName>
    <definedName name="VariacionCosto">'ANALISIS DE SENSIBILIDAD'!$E$11</definedName>
    <definedName name="variacioncosto2">'ANALISIS DE SENSIBILIDAD'!#REF!</definedName>
    <definedName name="variacioncosto3">'ANALISIS DE SENSIBILIDAD'!$E$34</definedName>
    <definedName name="variacioninteres1">'ANALISIS DE SENSIBILIDAD'!#REF!</definedName>
    <definedName name="variacioninteres2">'ANALISIS DE SENSIBILIDAD'!#REF!</definedName>
    <definedName name="variacioninteres3">'ANALISIS DE SENSIBILIDAD'!#REF!</definedName>
    <definedName name="VariacionMonto">'ANALISIS DE SENSIBILIDAD'!$E$10</definedName>
    <definedName name="variacionpoblacion">'ANALISIS DE SENSIBILIDAD'!$E$12</definedName>
    <definedName name="variaciontamaño">'ANALISIS DE SENSIBILIDAD'!$E$14</definedName>
    <definedName name="vpcp">'EVALUACION PRIVADA'!$D$23</definedName>
  </definedNames>
  <calcPr fullCalcOnLoad="1"/>
</workbook>
</file>

<file path=xl/comments2.xml><?xml version="1.0" encoding="utf-8"?>
<comments xmlns="http://schemas.openxmlformats.org/spreadsheetml/2006/main">
  <authors>
    <author>Marlon Coral</author>
    <author>Administrador</author>
    <author>Jaime Paredes Ver?stegui</author>
  </authors>
  <commentList>
    <comment ref="B8" authorId="0">
      <text>
        <r>
          <rPr>
            <b/>
            <sz val="8"/>
            <rFont val="Tahoma"/>
            <family val="0"/>
          </rPr>
          <t>La descripción del título debe responder a tres preguntas: Qué se va a hacer, sobre qué y dónde.</t>
        </r>
        <r>
          <rPr>
            <sz val="8"/>
            <rFont val="Tahoma"/>
            <family val="0"/>
          </rPr>
          <t xml:space="preserve">
</t>
        </r>
      </text>
    </comment>
    <comment ref="B184" authorId="0">
      <text>
        <r>
          <rPr>
            <b/>
            <sz val="8"/>
            <rFont val="Tahoma"/>
            <family val="0"/>
          </rPr>
          <t>Un valor positivo indica déficit, uno negativo indica excedente.</t>
        </r>
      </text>
    </comment>
    <comment ref="E80" authorId="1">
      <text>
        <r>
          <rPr>
            <b/>
            <sz val="8"/>
            <rFont val="Tahoma"/>
            <family val="0"/>
          </rPr>
          <t>Escribir el máximo nivel existente</t>
        </r>
      </text>
    </comment>
    <comment ref="E81" authorId="1">
      <text>
        <r>
          <rPr>
            <b/>
            <sz val="8"/>
            <rFont val="Tahoma"/>
            <family val="0"/>
          </rPr>
          <t>Escribir el máximo nivel existente</t>
        </r>
      </text>
    </comment>
    <comment ref="B265" authorId="2">
      <text>
        <r>
          <rPr>
            <b/>
            <sz val="8"/>
            <rFont val="Tahoma"/>
            <family val="0"/>
          </rPr>
          <t>Con este dato se calculan los ingresos incrementales del proyecto</t>
        </r>
      </text>
    </comment>
  </commentList>
</comments>
</file>

<file path=xl/comments4.xml><?xml version="1.0" encoding="utf-8"?>
<comments xmlns="http://schemas.openxmlformats.org/spreadsheetml/2006/main">
  <authors>
    <author>Caja Promotora de Vivienda</author>
    <author>SCRE</author>
  </authors>
  <commentList>
    <comment ref="E20" authorId="0">
      <text>
        <r>
          <rPr>
            <b/>
            <sz val="8"/>
            <rFont val="Tahoma"/>
            <family val="0"/>
          </rPr>
          <t>Escriba en esta casilla el año en el cual debe comenzar el proyecto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0"/>
          </rPr>
          <t>Escriba en esta casilla el año en el cual debe comenzar el proyecto</t>
        </r>
        <r>
          <rPr>
            <sz val="8"/>
            <rFont val="Tahoma"/>
            <family val="0"/>
          </rPr>
          <t xml:space="preserve">
</t>
        </r>
      </text>
    </comment>
    <comment ref="B59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  <comment ref="B62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  <comment ref="B65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  <comment ref="B74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  <comment ref="C106" authorId="1">
      <text>
        <r>
          <rPr>
            <sz val="9"/>
            <rFont val="Tahoma"/>
            <family val="2"/>
          </rPr>
          <t>Tasa Impositiva a las utilidades</t>
        </r>
      </text>
    </comment>
    <comment ref="B117" authorId="1">
      <text>
        <r>
          <rPr>
            <sz val="9"/>
            <rFont val="Tahoma"/>
            <family val="2"/>
          </rPr>
          <t>Valor que conservan los Activos Fijos</t>
        </r>
      </text>
    </comment>
    <comment ref="D98" authorId="0">
      <text>
        <r>
          <rPr>
            <b/>
            <sz val="8"/>
            <rFont val="Tahoma"/>
            <family val="0"/>
          </rPr>
          <t>Escriba en esta casilla el año en el cual debe comenzar el proyecto</t>
        </r>
        <r>
          <rPr>
            <sz val="8"/>
            <rFont val="Tahoma"/>
            <family val="0"/>
          </rPr>
          <t xml:space="preserve">
</t>
        </r>
      </text>
    </comment>
    <comment ref="B52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Caja Promotora de Vivienda</author>
    <author>SCRE</author>
  </authors>
  <commentList>
    <comment ref="D31" authorId="0">
      <text>
        <r>
          <rPr>
            <b/>
            <sz val="8"/>
            <rFont val="Tahoma"/>
            <family val="0"/>
          </rPr>
          <t>Escriba en esta casilla el año en el cual debe comenzar el proyecto</t>
        </r>
        <r>
          <rPr>
            <sz val="8"/>
            <rFont val="Tahoma"/>
            <family val="0"/>
          </rPr>
          <t xml:space="preserve">
</t>
        </r>
      </text>
    </comment>
    <comment ref="B50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  <comment ref="B53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  <comment ref="B56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  <comment ref="B65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  <comment ref="B43" authorId="1">
      <text>
        <r>
          <rPr>
            <b/>
            <sz val="9"/>
            <rFont val="Tahoma"/>
            <family val="0"/>
          </rPr>
          <t>Son Bienes Transables aquellos materiales, equipos e insumos que se importan o exportan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Caja Promotora de Vivienda</author>
    <author>WINDOWS XP</author>
    <author>Jaime Paredes Ver?stegui</author>
  </authors>
  <commentList>
    <comment ref="H15" authorId="0">
      <text>
        <r>
          <rPr>
            <b/>
            <sz val="8"/>
            <rFont val="Tahoma"/>
            <family val="0"/>
          </rPr>
          <t>COSTO ANUAL EQUIVALENTE SOCIAL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sz val="8"/>
            <rFont val="Tahoma"/>
            <family val="2"/>
          </rPr>
          <t>Costo por Persona Atendida</t>
        </r>
      </text>
    </comment>
    <comment ref="B26" authorId="0">
      <text>
        <r>
          <rPr>
            <sz val="8"/>
            <rFont val="Tahoma"/>
            <family val="2"/>
          </rPr>
          <t>Costo por Persona Atendida</t>
        </r>
      </text>
    </comment>
    <comment ref="E21" authorId="1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  <comment ref="B27" authorId="0">
      <text>
        <r>
          <rPr>
            <sz val="8"/>
            <rFont val="Tahoma"/>
            <family val="2"/>
          </rPr>
          <t>Costo por Persona Atendida</t>
        </r>
      </text>
    </comment>
    <comment ref="H27" authorId="0">
      <text>
        <r>
          <rPr>
            <sz val="8"/>
            <rFont val="Tahoma"/>
            <family val="2"/>
          </rPr>
          <t>Costo por Persona Atendida</t>
        </r>
      </text>
    </comment>
    <comment ref="C17" authorId="2">
      <text>
        <r>
          <rPr>
            <b/>
            <sz val="8"/>
            <rFont val="Tahoma"/>
            <family val="0"/>
          </rPr>
          <t>Valor estimado</t>
        </r>
      </text>
    </comment>
    <comment ref="I17" authorId="2">
      <text>
        <r>
          <rPr>
            <b/>
            <sz val="8"/>
            <rFont val="Tahoma"/>
            <family val="0"/>
          </rPr>
          <t>Valor estimado</t>
        </r>
      </text>
    </comment>
  </commentList>
</comments>
</file>

<file path=xl/comments8.xml><?xml version="1.0" encoding="utf-8"?>
<comments xmlns="http://schemas.openxmlformats.org/spreadsheetml/2006/main">
  <authors>
    <author>Alberto RAHAL</author>
    <author>Caja Promotora de Vivienda</author>
  </authors>
  <commentList>
    <comment ref="D8" authorId="0">
      <text>
        <r>
          <rPr>
            <b/>
            <sz val="8"/>
            <rFont val="Tahoma"/>
            <family val="2"/>
          </rPr>
          <t>Estos son los valores reales de las variables para la alternativa seleccionada</t>
        </r>
      </text>
    </comment>
    <comment ref="E8" authorId="0">
      <text>
        <r>
          <rPr>
            <b/>
            <sz val="8"/>
            <rFont val="Tahoma"/>
            <family val="0"/>
          </rPr>
          <t>Introduzca aquí el valor modificado de la variable que quiere analizar, como un porcentaje del Valor Actual</t>
        </r>
      </text>
    </comment>
    <comment ref="G24" authorId="1">
      <text>
        <r>
          <rPr>
            <b/>
            <sz val="8"/>
            <rFont val="Tahoma"/>
            <family val="0"/>
          </rPr>
          <t>COSTO ANUAL EQUIVALENTE SOCIAL</t>
        </r>
        <r>
          <rPr>
            <sz val="8"/>
            <rFont val="Tahoma"/>
            <family val="0"/>
          </rPr>
          <t xml:space="preserve">
</t>
        </r>
      </text>
    </comment>
    <comment ref="B33" authorId="1">
      <text>
        <r>
          <rPr>
            <sz val="8"/>
            <rFont val="Tahoma"/>
            <family val="2"/>
          </rPr>
          <t>Costo por Persona Atendida</t>
        </r>
      </text>
    </comment>
    <comment ref="B34" authorId="1">
      <text>
        <r>
          <rPr>
            <sz val="8"/>
            <rFont val="Tahoma"/>
            <family val="2"/>
          </rPr>
          <t>Costo por Persona Atendida</t>
        </r>
      </text>
    </comment>
    <comment ref="G33" authorId="1">
      <text>
        <r>
          <rPr>
            <sz val="8"/>
            <rFont val="Tahoma"/>
            <family val="2"/>
          </rPr>
          <t>Costo por Persona Atendida</t>
        </r>
      </text>
    </comment>
    <comment ref="G34" authorId="1">
      <text>
        <r>
          <rPr>
            <sz val="8"/>
            <rFont val="Tahoma"/>
            <family val="2"/>
          </rPr>
          <t>Costo por Persona Atendida</t>
        </r>
      </text>
    </comment>
  </commentList>
</comments>
</file>

<file path=xl/sharedStrings.xml><?xml version="1.0" encoding="utf-8"?>
<sst xmlns="http://schemas.openxmlformats.org/spreadsheetml/2006/main" count="619" uniqueCount="358">
  <si>
    <t>UNIVERSIDAD DE LOS ANDES</t>
  </si>
  <si>
    <t>FACULTAD DE ECONOMIA</t>
  </si>
  <si>
    <t>CENTRO DE ESTUDIOS SOBRE DESARROLLO ECONOMICO (CEDE)</t>
  </si>
  <si>
    <t>EXTERNO DEL MINISTERIO DE HACIENDA DE BOLIVIA</t>
  </si>
  <si>
    <t xml:space="preserve">METODOLOGIA DE PREPARACION Y EVALUACION DE PROYECTOS DE </t>
  </si>
  <si>
    <t>Estado</t>
  </si>
  <si>
    <t>Carretera</t>
  </si>
  <si>
    <t>Senda</t>
  </si>
  <si>
    <t>Aspectos Generales del Proyecto</t>
  </si>
  <si>
    <t xml:space="preserve"> </t>
  </si>
  <si>
    <t xml:space="preserve">  </t>
  </si>
  <si>
    <t>Diagnostico de la sitación actual</t>
  </si>
  <si>
    <t>VICEMINISTERIO DE INVERSIONES PUBLICAS Y FINANCIAMIENTO</t>
  </si>
  <si>
    <t>REPUBLICA DE BOLIVIA</t>
  </si>
  <si>
    <t>CONSTRUCCION DE CARRETERAS PAVIMENTADAS</t>
  </si>
  <si>
    <t>Firma</t>
  </si>
  <si>
    <t>TIPO</t>
  </si>
  <si>
    <t>Camino Vecinal</t>
  </si>
  <si>
    <t>Tren</t>
  </si>
  <si>
    <t>Aéreo</t>
  </si>
  <si>
    <t>DISTRIBUCION POR EDAD Y GENERO (Habitantes)</t>
  </si>
  <si>
    <t>Población Total</t>
  </si>
  <si>
    <t>Población Objetivo</t>
  </si>
  <si>
    <t>Menor de 1 año</t>
  </si>
  <si>
    <t>1 a 4 años</t>
  </si>
  <si>
    <t>5 a 14 años</t>
  </si>
  <si>
    <t>60 y más</t>
  </si>
  <si>
    <t>NOMBRE</t>
  </si>
  <si>
    <t>SERVICIOS</t>
  </si>
  <si>
    <t>OBSERVACIONES</t>
  </si>
  <si>
    <t>Servicio</t>
  </si>
  <si>
    <t>Atenciones Esperadas</t>
  </si>
  <si>
    <t>Unidad de Medida</t>
  </si>
  <si>
    <t>Cantidad de Recurso</t>
  </si>
  <si>
    <t>Estado del Recurso</t>
  </si>
  <si>
    <t>Capacidad (Teórica)</t>
  </si>
  <si>
    <t>Capacidad (Real)</t>
  </si>
  <si>
    <t>Indicador de Rendimiento</t>
  </si>
  <si>
    <t>Proyección</t>
  </si>
  <si>
    <t>5 años</t>
  </si>
  <si>
    <t>Detalle</t>
  </si>
  <si>
    <t>Donación</t>
  </si>
  <si>
    <t>Terreno</t>
  </si>
  <si>
    <t>Edificaciones</t>
  </si>
  <si>
    <t>Equipamiento</t>
  </si>
  <si>
    <t>Suministros</t>
  </si>
  <si>
    <t>Supervisión</t>
  </si>
  <si>
    <t>Total</t>
  </si>
  <si>
    <t>Años</t>
  </si>
  <si>
    <t>Subtotal</t>
  </si>
  <si>
    <t>TOTAL</t>
  </si>
  <si>
    <t>CAES</t>
  </si>
  <si>
    <t>Indicador</t>
  </si>
  <si>
    <t>Valor</t>
  </si>
  <si>
    <t>VANS</t>
  </si>
  <si>
    <t>VANP</t>
  </si>
  <si>
    <t>CAEP</t>
  </si>
  <si>
    <t>Gastos de Supervisión</t>
  </si>
  <si>
    <t>Infraestructura</t>
  </si>
  <si>
    <t xml:space="preserve">      Total </t>
  </si>
  <si>
    <t>Valor Actual</t>
  </si>
  <si>
    <t>COMPONENTES DEL PLAN DE SALUD</t>
  </si>
  <si>
    <t>Plan de Salud Local</t>
  </si>
  <si>
    <t xml:space="preserve">   Mano de Obra Calificada</t>
  </si>
  <si>
    <t>INVERSION</t>
  </si>
  <si>
    <t>Variables</t>
  </si>
  <si>
    <t>VACP</t>
  </si>
  <si>
    <t>VACS</t>
  </si>
  <si>
    <t>Tipo</t>
  </si>
  <si>
    <r>
      <t>N</t>
    </r>
    <r>
      <rPr>
        <sz val="10"/>
        <color indexed="12"/>
        <rFont val="Lucida Casual"/>
        <family val="4"/>
      </rPr>
      <t xml:space="preserve">OMBRE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</si>
  <si>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E</t>
    </r>
    <r>
      <rPr>
        <sz val="10"/>
        <color indexed="12"/>
        <rFont val="Lucida Casual"/>
        <family val="4"/>
      </rPr>
      <t xml:space="preserve">NTIDAD </t>
    </r>
    <r>
      <rPr>
        <sz val="12"/>
        <color indexed="10"/>
        <rFont val="Lucida Casual"/>
        <family val="4"/>
      </rPr>
      <t>E</t>
    </r>
    <r>
      <rPr>
        <sz val="10"/>
        <color indexed="12"/>
        <rFont val="Lucida Casual"/>
        <family val="4"/>
      </rPr>
      <t xml:space="preserve">JECUTORA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</si>
  <si>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N</t>
    </r>
    <r>
      <rPr>
        <sz val="8"/>
        <color indexed="12"/>
        <rFont val="Lucida Casual"/>
        <family val="4"/>
      </rPr>
      <t xml:space="preserve">OMBRE DE LA </t>
    </r>
    <r>
      <rPr>
        <sz val="10"/>
        <color indexed="10"/>
        <rFont val="Lucida Casual"/>
        <family val="4"/>
      </rPr>
      <t>I</t>
    </r>
    <r>
      <rPr>
        <sz val="8"/>
        <color indexed="12"/>
        <rFont val="Lucida Casual"/>
        <family val="4"/>
      </rPr>
      <t>NSTITUCIÓN</t>
    </r>
  </si>
  <si>
    <r>
      <t>D</t>
    </r>
    <r>
      <rPr>
        <sz val="8"/>
        <color indexed="12"/>
        <rFont val="Lucida Casual"/>
        <family val="4"/>
      </rPr>
      <t>IRECCIÓN</t>
    </r>
  </si>
  <si>
    <r>
      <t>E</t>
    </r>
    <r>
      <rPr>
        <sz val="10"/>
        <color indexed="12"/>
        <rFont val="Lucida Casual"/>
        <family val="4"/>
      </rPr>
      <t xml:space="preserve">NTIDAD </t>
    </r>
    <r>
      <rPr>
        <sz val="12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 xml:space="preserve">PERADORA DEL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>ERVICIO</t>
    </r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</si>
  <si>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</si>
  <si>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P</t>
    </r>
    <r>
      <rPr>
        <sz val="10"/>
        <color indexed="12"/>
        <rFont val="Lucida Casual"/>
        <family val="4"/>
      </rPr>
      <t>OBLACIÓN</t>
    </r>
    <r>
      <rPr>
        <sz val="10"/>
        <rFont val="Lucida Casual"/>
        <family val="4"/>
      </rPr>
      <t xml:space="preserve"> </t>
    </r>
    <r>
      <rPr>
        <sz val="12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>FECTADA</t>
    </r>
  </si>
  <si>
    <r>
      <t>D</t>
    </r>
    <r>
      <rPr>
        <sz val="10"/>
        <color indexed="12"/>
        <rFont val="Lucida Casual"/>
        <family val="4"/>
      </rPr>
      <t xml:space="preserve">EMANDA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OTENCIAL</t>
    </r>
  </si>
  <si>
    <r>
      <t>O</t>
    </r>
    <r>
      <rPr>
        <sz val="10"/>
        <color indexed="12"/>
        <rFont val="Lucida Casual"/>
        <family val="4"/>
      </rPr>
      <t xml:space="preserve">FERTA </t>
    </r>
    <r>
      <rPr>
        <sz val="12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 xml:space="preserve">CTUAL DE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>ERVICIOS</t>
    </r>
  </si>
  <si>
    <r>
      <t>D</t>
    </r>
    <r>
      <rPr>
        <sz val="10"/>
        <color indexed="12"/>
        <rFont val="Lucida Casual"/>
        <family val="4"/>
      </rPr>
      <t xml:space="preserve">ÉFICIT </t>
    </r>
    <r>
      <rPr>
        <sz val="12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 xml:space="preserve">CTUAL DE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>ERVICIOS</t>
    </r>
  </si>
  <si>
    <r>
      <t>O</t>
    </r>
    <r>
      <rPr>
        <sz val="10"/>
        <color indexed="12"/>
        <rFont val="Lucida Casual"/>
        <family val="4"/>
      </rPr>
      <t xml:space="preserve">FERTA </t>
    </r>
    <r>
      <rPr>
        <sz val="12"/>
        <color indexed="10"/>
        <rFont val="Lucida Casual"/>
        <family val="4"/>
      </rPr>
      <t>R</t>
    </r>
    <r>
      <rPr>
        <sz val="10"/>
        <color indexed="12"/>
        <rFont val="Lucida Casual"/>
        <family val="4"/>
      </rPr>
      <t xml:space="preserve">EAL DE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 xml:space="preserve">ERVICIOS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ROYECTADA</t>
    </r>
  </si>
  <si>
    <r>
      <t>P</t>
    </r>
    <r>
      <rPr>
        <sz val="10"/>
        <color indexed="12"/>
        <rFont val="Lucida Casual"/>
        <family val="4"/>
      </rPr>
      <t>ROBLEMA</t>
    </r>
  </si>
  <si>
    <r>
      <t>C</t>
    </r>
    <r>
      <rPr>
        <sz val="10"/>
        <color indexed="12"/>
        <rFont val="Lucida Casual"/>
        <family val="4"/>
      </rPr>
      <t xml:space="preserve">AUSAS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ROBLEMA</t>
    </r>
  </si>
  <si>
    <r>
      <t>R</t>
    </r>
    <r>
      <rPr>
        <sz val="10"/>
        <color indexed="12"/>
        <rFont val="Lucida Casual"/>
        <family val="4"/>
      </rPr>
      <t xml:space="preserve">ELACIÓN DEL </t>
    </r>
    <r>
      <rPr>
        <sz val="12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 xml:space="preserve">BJETIVO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ROYECTO Y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LANES DE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>ALUD</t>
    </r>
  </si>
  <si>
    <r>
      <t>D</t>
    </r>
    <r>
      <rPr>
        <sz val="10"/>
        <color indexed="12"/>
        <rFont val="Lucida Casual"/>
        <family val="4"/>
      </rPr>
      <t>ESCRIPCIÓN</t>
    </r>
  </si>
  <si>
    <r>
      <t>A</t>
    </r>
    <r>
      <rPr>
        <sz val="10"/>
        <color indexed="12"/>
        <rFont val="Lucida Casual"/>
        <family val="4"/>
      </rPr>
      <t xml:space="preserve">SPECTOS </t>
    </r>
    <r>
      <rPr>
        <sz val="12"/>
        <color indexed="10"/>
        <rFont val="Lucida Casual"/>
        <family val="4"/>
      </rPr>
      <t>T</t>
    </r>
    <r>
      <rPr>
        <sz val="10"/>
        <color indexed="12"/>
        <rFont val="Lucida Casual"/>
        <family val="4"/>
      </rPr>
      <t>ÉCNICOS</t>
    </r>
  </si>
  <si>
    <r>
      <t>A</t>
    </r>
    <r>
      <rPr>
        <sz val="10"/>
        <color indexed="12"/>
        <rFont val="Lucida Casual"/>
        <family val="4"/>
      </rPr>
      <t xml:space="preserve">SPECTOS </t>
    </r>
    <r>
      <rPr>
        <sz val="12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>PERATIVOS</t>
    </r>
  </si>
  <si>
    <r>
      <t>I</t>
    </r>
    <r>
      <rPr>
        <sz val="12"/>
        <color indexed="48"/>
        <rFont val="Lucida Casual"/>
        <family val="4"/>
      </rPr>
      <t>NFORMACIÓN</t>
    </r>
    <r>
      <rPr>
        <sz val="10"/>
        <color indexed="48"/>
        <rFont val="Lucida Casual"/>
        <family val="4"/>
      </rPr>
      <t xml:space="preserve">  </t>
    </r>
    <r>
      <rPr>
        <sz val="14"/>
        <color indexed="10"/>
        <rFont val="Lucida Casual"/>
        <family val="4"/>
      </rPr>
      <t>G</t>
    </r>
    <r>
      <rPr>
        <sz val="12"/>
        <color indexed="48"/>
        <rFont val="Lucida Casual"/>
        <family val="4"/>
      </rPr>
      <t>ENERAL</t>
    </r>
  </si>
  <si>
    <r>
      <t>B</t>
    </r>
    <r>
      <rPr>
        <sz val="10"/>
        <color indexed="48"/>
        <rFont val="Lucida Casual"/>
        <family val="4"/>
      </rPr>
      <t xml:space="preserve">ENEFICIOS </t>
    </r>
    <r>
      <rPr>
        <sz val="12"/>
        <color indexed="10"/>
        <rFont val="Lucida Casual"/>
        <family val="4"/>
      </rPr>
      <t>E</t>
    </r>
    <r>
      <rPr>
        <sz val="10"/>
        <color indexed="12"/>
        <rFont val="Lucida Casual"/>
        <family val="4"/>
      </rPr>
      <t xml:space="preserve">CONÓMICOS </t>
    </r>
    <r>
      <rPr>
        <sz val="10"/>
        <color indexed="48"/>
        <rFont val="Lucida Casual"/>
        <family val="4"/>
      </rPr>
      <t xml:space="preserve">DEL </t>
    </r>
    <r>
      <rPr>
        <sz val="12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</si>
  <si>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C</t>
    </r>
    <r>
      <rPr>
        <sz val="10"/>
        <color indexed="48"/>
        <rFont val="Lucida Casual"/>
        <family val="4"/>
      </rPr>
      <t xml:space="preserve">OSTOS DEL </t>
    </r>
    <r>
      <rPr>
        <sz val="12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</si>
  <si>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I</t>
    </r>
    <r>
      <rPr>
        <sz val="10"/>
        <color indexed="48"/>
        <rFont val="Lucida Casual"/>
        <family val="4"/>
      </rPr>
      <t xml:space="preserve">NGRESOS </t>
    </r>
    <r>
      <rPr>
        <sz val="10"/>
        <color indexed="12"/>
        <rFont val="Lucida Casual"/>
        <family val="4"/>
      </rPr>
      <t>D</t>
    </r>
    <r>
      <rPr>
        <sz val="10"/>
        <color indexed="48"/>
        <rFont val="Lucida Casual"/>
        <family val="4"/>
      </rPr>
      <t xml:space="preserve">EL </t>
    </r>
    <r>
      <rPr>
        <sz val="12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</si>
  <si>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4"/>
        <color indexed="10"/>
        <rFont val="Lucida Casual"/>
        <family val="4"/>
      </rPr>
      <t>F</t>
    </r>
    <r>
      <rPr>
        <sz val="12"/>
        <color indexed="48"/>
        <rFont val="Lucida Casual"/>
        <family val="4"/>
      </rPr>
      <t>INANCIEROS</t>
    </r>
  </si>
  <si>
    <r>
      <t>I</t>
    </r>
    <r>
      <rPr>
        <sz val="12"/>
        <color indexed="12"/>
        <rFont val="Lucida Casual"/>
        <family val="4"/>
      </rPr>
      <t xml:space="preserve">NVERSIÓN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STIMADA Y </t>
    </r>
    <r>
      <rPr>
        <sz val="14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INANCIAMIENTO</t>
    </r>
  </si>
  <si>
    <r>
      <t>A</t>
    </r>
    <r>
      <rPr>
        <sz val="12"/>
        <color indexed="12"/>
        <rFont val="Lucida Casual"/>
        <family val="4"/>
      </rPr>
      <t xml:space="preserve">NÁLISIS DE </t>
    </r>
    <r>
      <rPr>
        <sz val="14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>ENSIBILIDAD</t>
    </r>
  </si>
  <si>
    <r>
      <t>R</t>
    </r>
    <r>
      <rPr>
        <sz val="10"/>
        <color indexed="12"/>
        <rFont val="Lucida Casual"/>
        <family val="4"/>
      </rPr>
      <t>ECOMENDACIÓN</t>
    </r>
  </si>
  <si>
    <r>
      <t>J</t>
    </r>
    <r>
      <rPr>
        <sz val="10"/>
        <color indexed="12"/>
        <rFont val="Lucida Casual"/>
        <family val="4"/>
      </rPr>
      <t>USTIFICACIÓN</t>
    </r>
  </si>
  <si>
    <r>
      <t>F</t>
    </r>
    <r>
      <rPr>
        <sz val="10"/>
        <color indexed="12"/>
        <rFont val="Lucida Casual"/>
        <family val="4"/>
      </rPr>
      <t xml:space="preserve">ECHA DE </t>
    </r>
    <r>
      <rPr>
        <sz val="12"/>
        <color indexed="10"/>
        <rFont val="Lucida Casual"/>
        <family val="4"/>
      </rPr>
      <t>E</t>
    </r>
    <r>
      <rPr>
        <sz val="10"/>
        <color indexed="12"/>
        <rFont val="Lucida Casual"/>
        <family val="4"/>
      </rPr>
      <t>LABORACIÓN</t>
    </r>
  </si>
  <si>
    <r>
      <t>R</t>
    </r>
    <r>
      <rPr>
        <sz val="10"/>
        <color indexed="12"/>
        <rFont val="Lucida Casual"/>
        <family val="4"/>
      </rPr>
      <t>ESPONSABLE</t>
    </r>
  </si>
  <si>
    <r>
      <t>N</t>
    </r>
    <r>
      <rPr>
        <sz val="8"/>
        <color indexed="12"/>
        <rFont val="Lucida Casual"/>
        <family val="4"/>
      </rPr>
      <t>OMBRE</t>
    </r>
  </si>
  <si>
    <r>
      <t>C</t>
    </r>
    <r>
      <rPr>
        <sz val="8"/>
        <color indexed="12"/>
        <rFont val="Lucida Casual"/>
        <family val="4"/>
      </rPr>
      <t>ARGO</t>
    </r>
  </si>
  <si>
    <t>RPC Mano de Obra no Calificada Rural</t>
  </si>
  <si>
    <t>RPC Mano de Obra no Calificada Urbana</t>
  </si>
  <si>
    <t>RPC Divisa</t>
  </si>
  <si>
    <t>RPC Mano de Obra Semicalificada</t>
  </si>
  <si>
    <t>RPC Mano de Obra Calificada</t>
  </si>
  <si>
    <t>Tasa Social de Descuento</t>
  </si>
  <si>
    <t>Tasa Privada de Descuento</t>
  </si>
  <si>
    <t>Componentes</t>
  </si>
  <si>
    <t xml:space="preserve">   Mano de Obra No Cal. Urbana</t>
  </si>
  <si>
    <t xml:space="preserve">   Mano de Obra No Cal. Rural</t>
  </si>
  <si>
    <t xml:space="preserve">   Mano de Obra Semicalificada</t>
  </si>
  <si>
    <t xml:space="preserve">   Materiales Locales</t>
  </si>
  <si>
    <t>Gastos Generales</t>
  </si>
  <si>
    <t>OPERACIÓN Y MANTENIMIENTO</t>
  </si>
  <si>
    <t>Mano de Obra Calificada</t>
  </si>
  <si>
    <t>Mano de Obra Semicalificada</t>
  </si>
  <si>
    <t>Mano de Obra No Cal. Urbana</t>
  </si>
  <si>
    <t>Mano de Obra No Cal. Rural</t>
  </si>
  <si>
    <t>Materiales Locales</t>
  </si>
  <si>
    <r>
      <t>C</t>
    </r>
    <r>
      <rPr>
        <sz val="12"/>
        <color indexed="12"/>
        <rFont val="Lucida Casual"/>
        <family val="4"/>
      </rPr>
      <t xml:space="preserve">ONCLUSIONES Y </t>
    </r>
    <r>
      <rPr>
        <sz val="14"/>
        <color indexed="10"/>
        <rFont val="Lucida Casual"/>
        <family val="4"/>
      </rPr>
      <t>R</t>
    </r>
    <r>
      <rPr>
        <sz val="12"/>
        <color indexed="12"/>
        <rFont val="Lucida Casual"/>
        <family val="4"/>
      </rPr>
      <t>ECOMENDACIONES</t>
    </r>
  </si>
  <si>
    <t>Hombres</t>
  </si>
  <si>
    <t>Mujeres</t>
  </si>
  <si>
    <t>Mujeres Embara- zadas</t>
  </si>
  <si>
    <t>DEFICIT ACTUAL</t>
  </si>
  <si>
    <r>
      <t>D</t>
    </r>
    <r>
      <rPr>
        <sz val="10"/>
        <color indexed="12"/>
        <rFont val="Lucida Casual"/>
        <family val="4"/>
      </rPr>
      <t xml:space="preserve">EFICIT </t>
    </r>
    <r>
      <rPr>
        <sz val="12"/>
        <color indexed="10"/>
        <rFont val="Lucida Casual"/>
        <family val="4"/>
      </rPr>
      <t>R</t>
    </r>
    <r>
      <rPr>
        <sz val="10"/>
        <color indexed="12"/>
        <rFont val="Lucida Casual"/>
        <family val="4"/>
      </rPr>
      <t xml:space="preserve">EAL DE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 xml:space="preserve">ERVICIOS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ROYECTADO</t>
    </r>
  </si>
  <si>
    <r>
      <t>O</t>
    </r>
    <r>
      <rPr>
        <sz val="10"/>
        <color indexed="12"/>
        <rFont val="Lucida Casual"/>
        <family val="4"/>
      </rPr>
      <t>BJETIVO DEL</t>
    </r>
    <r>
      <rPr>
        <sz val="12"/>
        <color indexed="10"/>
        <rFont val="Lucida Casual"/>
        <family val="4"/>
      </rPr>
      <t xml:space="preserve"> P</t>
    </r>
    <r>
      <rPr>
        <sz val="10"/>
        <color indexed="12"/>
        <rFont val="Lucida Casual"/>
        <family val="4"/>
      </rPr>
      <t>ROYECTO</t>
    </r>
  </si>
  <si>
    <t>Bienes Transables</t>
  </si>
  <si>
    <t xml:space="preserve">   Bienes Transables</t>
  </si>
  <si>
    <t>Monto de la Inversión</t>
  </si>
  <si>
    <t>IMPACTO AMBIENTAL</t>
  </si>
  <si>
    <t>Ninguno</t>
  </si>
  <si>
    <t>Bajo</t>
  </si>
  <si>
    <t>Medio</t>
  </si>
  <si>
    <t>Alto</t>
  </si>
  <si>
    <t>Tipo de Impacto</t>
  </si>
  <si>
    <t>Categoría del Impacto</t>
  </si>
  <si>
    <t>Bosque</t>
  </si>
  <si>
    <t>Suelo</t>
  </si>
  <si>
    <t>Agua</t>
  </si>
  <si>
    <t>Aire</t>
  </si>
  <si>
    <t>Biodiversidad</t>
  </si>
  <si>
    <r>
      <t>I</t>
    </r>
    <r>
      <rPr>
        <sz val="10"/>
        <color indexed="48"/>
        <rFont val="Lucida Casual"/>
        <family val="4"/>
      </rPr>
      <t xml:space="preserve">NFORMACIÓN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DICIONAL</t>
    </r>
  </si>
  <si>
    <t>Participación de los COSTOS de EEIA según Categoría y Monto del</t>
  </si>
  <si>
    <t>Proyecto dentro de los Costos del Proyecto</t>
  </si>
  <si>
    <t>Costo del Proyecto</t>
  </si>
  <si>
    <t>Categoría del Proyecto</t>
  </si>
  <si>
    <t>millones de $ Bol.</t>
  </si>
  <si>
    <t>&lt; 30</t>
  </si>
  <si>
    <t>30-60</t>
  </si>
  <si>
    <t>60-120</t>
  </si>
  <si>
    <t>&gt;120</t>
  </si>
  <si>
    <t xml:space="preserve">Participación de los Costos Ambientales por Categoría y Monto en </t>
  </si>
  <si>
    <t>el Costo Total del Proyecto</t>
  </si>
  <si>
    <t>Trans.</t>
  </si>
  <si>
    <t>Perm.</t>
  </si>
  <si>
    <t>Impacto Ambiental</t>
  </si>
  <si>
    <t>Costo de los Estudios de Impacto</t>
  </si>
  <si>
    <t>Costo del Manejo del Impacto</t>
  </si>
  <si>
    <t>Unidad Monetaria</t>
  </si>
  <si>
    <r>
      <t>O</t>
    </r>
    <r>
      <rPr>
        <sz val="10"/>
        <color indexed="12"/>
        <rFont val="Lucida Casual"/>
        <family val="4"/>
      </rPr>
      <t xml:space="preserve">RGANIZACIÓN </t>
    </r>
    <r>
      <rPr>
        <sz val="12"/>
        <color indexed="10"/>
        <rFont val="Lucida Casual"/>
        <family val="4"/>
      </rPr>
      <t>C</t>
    </r>
    <r>
      <rPr>
        <sz val="10"/>
        <color indexed="12"/>
        <rFont val="Lucida Casual"/>
        <family val="4"/>
      </rPr>
      <t xml:space="preserve">OMUNITARIA Y </t>
    </r>
    <r>
      <rPr>
        <sz val="12"/>
        <color indexed="10"/>
        <rFont val="Lucida Casual"/>
        <family val="4"/>
      </rPr>
      <t>T</t>
    </r>
    <r>
      <rPr>
        <sz val="10"/>
        <color indexed="12"/>
        <rFont val="Lucida Casual"/>
        <family val="4"/>
      </rPr>
      <t>ERRITORIAL</t>
    </r>
  </si>
  <si>
    <t>SERVICIO</t>
  </si>
  <si>
    <t xml:space="preserve">Agua Potable </t>
  </si>
  <si>
    <t>Alcantarillado</t>
  </si>
  <si>
    <t>Energía Eléctrica</t>
  </si>
  <si>
    <t xml:space="preserve">Teléfono         </t>
  </si>
  <si>
    <t>Distancia (km)</t>
  </si>
  <si>
    <t>Tiempo de Viaje (Horas)</t>
  </si>
  <si>
    <r>
      <t>U</t>
    </r>
    <r>
      <rPr>
        <sz val="10"/>
        <color indexed="12"/>
        <rFont val="Lucida Casual"/>
        <family val="4"/>
      </rPr>
      <t>BICACIÓN</t>
    </r>
  </si>
  <si>
    <t>Cobertura de Servicios:</t>
  </si>
  <si>
    <t>Tasa de Mortalidad General:</t>
  </si>
  <si>
    <t>Tasa de Mortalidad Infantil:</t>
  </si>
  <si>
    <t>Tasa de Mortalidad Materna:</t>
  </si>
  <si>
    <t>Tasa de Crecim. de Poblac.</t>
  </si>
  <si>
    <r>
      <t>P</t>
    </r>
    <r>
      <rPr>
        <sz val="10"/>
        <color indexed="12"/>
        <rFont val="Lucida Casual"/>
        <family val="4"/>
      </rPr>
      <t xml:space="preserve">ROYECCIÓN DE LA </t>
    </r>
    <r>
      <rPr>
        <sz val="12"/>
        <color indexed="10"/>
        <rFont val="Lucida Casual"/>
        <family val="4"/>
      </rPr>
      <t>D</t>
    </r>
    <r>
      <rPr>
        <sz val="10"/>
        <color indexed="12"/>
        <rFont val="Lucida Casual"/>
        <family val="4"/>
      </rPr>
      <t>EMANDA</t>
    </r>
  </si>
  <si>
    <t>Indicad. de Rendim.</t>
  </si>
  <si>
    <t>OFERTA PROYECTADA</t>
  </si>
  <si>
    <t>DEFICIT PROYECTADO</t>
  </si>
  <si>
    <t>Terrenos</t>
  </si>
  <si>
    <r>
      <t>A</t>
    </r>
    <r>
      <rPr>
        <sz val="10"/>
        <color indexed="12"/>
        <rFont val="Lucida Casual"/>
        <family val="4"/>
      </rPr>
      <t xml:space="preserve">CCESO AL </t>
    </r>
    <r>
      <rPr>
        <sz val="14"/>
        <color indexed="10"/>
        <rFont val="Lucida Casual"/>
        <family val="4"/>
      </rPr>
      <t>C</t>
    </r>
    <r>
      <rPr>
        <sz val="10"/>
        <color indexed="12"/>
        <rFont val="Lucida Casual"/>
        <family val="4"/>
      </rPr>
      <t xml:space="preserve">ENTRO DE </t>
    </r>
    <r>
      <rPr>
        <sz val="14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 xml:space="preserve">ALUD MÁS </t>
    </r>
    <r>
      <rPr>
        <sz val="14"/>
        <color indexed="10"/>
        <rFont val="Lucida Casual"/>
        <family val="4"/>
      </rPr>
      <t>C</t>
    </r>
    <r>
      <rPr>
        <sz val="10"/>
        <color indexed="12"/>
        <rFont val="Lucida Casual"/>
        <family val="4"/>
      </rPr>
      <t>ERCANO</t>
    </r>
  </si>
  <si>
    <r>
      <t>C</t>
    </r>
    <r>
      <rPr>
        <sz val="10"/>
        <color indexed="12"/>
        <rFont val="Lucida Casual"/>
        <family val="4"/>
      </rPr>
      <t>LIMATOLOGÍA</t>
    </r>
  </si>
  <si>
    <t>Temperatura Promedio</t>
  </si>
  <si>
    <t>º C</t>
  </si>
  <si>
    <t>m.s.n.m</t>
  </si>
  <si>
    <t>mm.</t>
  </si>
  <si>
    <r>
      <t>I</t>
    </r>
    <r>
      <rPr>
        <sz val="10"/>
        <color indexed="12"/>
        <rFont val="Lucida Casual"/>
        <family val="4"/>
      </rPr>
      <t xml:space="preserve">NDICADORES DE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>ALUD  (referidos al área de influencia del proyecto)</t>
    </r>
  </si>
  <si>
    <r>
      <t>E</t>
    </r>
    <r>
      <rPr>
        <sz val="10"/>
        <color indexed="12"/>
        <rFont val="Lucida Casual"/>
        <family val="4"/>
      </rPr>
      <t>STIMACIÓN</t>
    </r>
    <r>
      <rPr>
        <sz val="14"/>
        <color indexed="10"/>
        <rFont val="Lucida Casual"/>
        <family val="4"/>
      </rPr>
      <t xml:space="preserve"> P</t>
    </r>
    <r>
      <rPr>
        <sz val="10"/>
        <color indexed="12"/>
        <rFont val="Lucida Casual"/>
        <family val="4"/>
      </rPr>
      <t>RELIMINAR DEL</t>
    </r>
    <r>
      <rPr>
        <sz val="14"/>
        <color indexed="10"/>
        <rFont val="Lucida Casual"/>
        <family val="4"/>
      </rPr>
      <t xml:space="preserve"> I</t>
    </r>
    <r>
      <rPr>
        <sz val="10"/>
        <color indexed="48"/>
        <rFont val="Lucida Casual"/>
        <family val="4"/>
      </rPr>
      <t xml:space="preserve">MPACTO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</t>
    </r>
  </si>
  <si>
    <t>%</t>
  </si>
  <si>
    <t xml:space="preserve">  Porcentaje de la Población que tiene acceso al servicio</t>
  </si>
  <si>
    <t>por 1000</t>
  </si>
  <si>
    <r>
      <t>I</t>
    </r>
    <r>
      <rPr>
        <sz val="10"/>
        <color indexed="12"/>
        <rFont val="Lucida Casual"/>
        <family val="4"/>
      </rPr>
      <t xml:space="preserve">NSTITUCIONES DE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>ALUD EN EL</t>
    </r>
    <r>
      <rPr>
        <sz val="12"/>
        <color indexed="10"/>
        <rFont val="Lucida Casual"/>
        <family val="4"/>
      </rPr>
      <t xml:space="preserve"> Á</t>
    </r>
    <r>
      <rPr>
        <sz val="10"/>
        <color indexed="12"/>
        <rFont val="Lucida Casual"/>
        <family val="4"/>
      </rPr>
      <t xml:space="preserve">REA DE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 xml:space="preserve">NFLUENCIA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</si>
  <si>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Urbano</t>
  </si>
  <si>
    <r>
      <t>F</t>
    </r>
    <r>
      <rPr>
        <sz val="10"/>
        <color indexed="12"/>
        <rFont val="Lucida Casual"/>
        <family val="4"/>
      </rPr>
      <t xml:space="preserve">LUJO DE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>ONDOS</t>
    </r>
  </si>
  <si>
    <t>Total Ingresos</t>
  </si>
  <si>
    <t>Total Costos de Operación</t>
  </si>
  <si>
    <t>Depreciación (-)</t>
  </si>
  <si>
    <t>Costos Financieros (Intereses)</t>
  </si>
  <si>
    <t>Impuestos</t>
  </si>
  <si>
    <t>Total Costos de Inversión</t>
  </si>
  <si>
    <t>Depreciación (+)</t>
  </si>
  <si>
    <t>Costos de Impacto Ambiental</t>
  </si>
  <si>
    <t xml:space="preserve">Total Costos </t>
  </si>
  <si>
    <t>Valor de Salvamento</t>
  </si>
  <si>
    <t>Flujo de Fondos Neto</t>
  </si>
  <si>
    <t>Población Actual:</t>
  </si>
  <si>
    <t>Densidad:</t>
  </si>
  <si>
    <r>
      <t>A</t>
    </r>
    <r>
      <rPr>
        <sz val="8"/>
        <color indexed="12"/>
        <rFont val="Lucida Casual"/>
        <family val="4"/>
      </rPr>
      <t>SPECTOS</t>
    </r>
    <r>
      <rPr>
        <sz val="10"/>
        <color indexed="10"/>
        <rFont val="Lucida Casual"/>
        <family val="4"/>
      </rPr>
      <t xml:space="preserve"> E</t>
    </r>
    <r>
      <rPr>
        <sz val="8"/>
        <color indexed="12"/>
        <rFont val="Lucida Casual"/>
        <family val="4"/>
      </rPr>
      <t>CONÓMICOS</t>
    </r>
  </si>
  <si>
    <t>Educación</t>
  </si>
  <si>
    <t>Salud</t>
  </si>
  <si>
    <t>Planes o Programas Departamentales</t>
  </si>
  <si>
    <t>Plan Sectorial (Nacional)</t>
  </si>
  <si>
    <t>Escudo Epidemiológico</t>
  </si>
  <si>
    <t>COINCIDENCIA DEL PROYECTO CON LA POLITICA DEL PLAN</t>
  </si>
  <si>
    <t>Total General</t>
  </si>
  <si>
    <t>T.G.N.</t>
  </si>
  <si>
    <t>Recursos Propios</t>
  </si>
  <si>
    <t>Recursos de Contraval.</t>
  </si>
  <si>
    <t>Otros</t>
  </si>
  <si>
    <t>Crédito Externo</t>
  </si>
  <si>
    <t>Total Finaciam. Externo</t>
  </si>
  <si>
    <t>Gastos Generales e Imprevistos</t>
  </si>
  <si>
    <t>AÑOS</t>
  </si>
  <si>
    <t>POBLACION Y DEMANDA PROYECTADA</t>
  </si>
  <si>
    <t>Total Financiam Interno</t>
  </si>
  <si>
    <r>
      <t>A</t>
    </r>
    <r>
      <rPr>
        <sz val="10"/>
        <color indexed="12"/>
        <rFont val="Lucida Casual"/>
        <family val="4"/>
      </rPr>
      <t xml:space="preserve">ÑOS QUE </t>
    </r>
    <r>
      <rPr>
        <sz val="12"/>
        <color indexed="10"/>
        <rFont val="Lucida Casual"/>
        <family val="4"/>
      </rPr>
      <t>D</t>
    </r>
    <r>
      <rPr>
        <sz val="10"/>
        <color indexed="12"/>
        <rFont val="Lucida Casual"/>
        <family val="4"/>
      </rPr>
      <t xml:space="preserve">URA LA OPERACIÓN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</si>
  <si>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A</t>
    </r>
    <r>
      <rPr>
        <sz val="10"/>
        <color indexed="12"/>
        <rFont val="Lucida Casual"/>
        <family val="4"/>
      </rPr>
      <t xml:space="preserve">ÑOS QUE </t>
    </r>
    <r>
      <rPr>
        <sz val="12"/>
        <color indexed="10"/>
        <rFont val="Lucida Casual"/>
        <family val="4"/>
      </rPr>
      <t>D</t>
    </r>
    <r>
      <rPr>
        <sz val="10"/>
        <color indexed="12"/>
        <rFont val="Lucida Casual"/>
        <family val="4"/>
      </rPr>
      <t xml:space="preserve">URA LA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>NVERSIÓN</t>
    </r>
  </si>
  <si>
    <r>
      <t>A</t>
    </r>
    <r>
      <rPr>
        <sz val="10"/>
        <color indexed="12"/>
        <rFont val="Lucida Casual"/>
        <family val="4"/>
      </rPr>
      <t xml:space="preserve">ÑO DE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 xml:space="preserve">NICIO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</si>
  <si>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Tarifa</t>
  </si>
  <si>
    <t>Total Atenciones</t>
  </si>
  <si>
    <t>Nuevo Valor (%)</t>
  </si>
  <si>
    <t>LLENE LA SECCION ANTERIOR Y OPRIMA EL BOTÓN ANTES DE CONTINUAR EL REGISTRO DE INFORMACIÓN</t>
  </si>
  <si>
    <t>Amortización (+)</t>
  </si>
  <si>
    <r>
      <t>A</t>
    </r>
    <r>
      <rPr>
        <sz val="8"/>
        <color indexed="12"/>
        <rFont val="Lucida Casual"/>
        <family val="4"/>
      </rPr>
      <t>SPECTOS</t>
    </r>
    <r>
      <rPr>
        <sz val="10"/>
        <color indexed="10"/>
        <rFont val="Lucida Casual"/>
        <family val="4"/>
      </rPr>
      <t xml:space="preserve"> D</t>
    </r>
    <r>
      <rPr>
        <sz val="8"/>
        <color indexed="12"/>
        <rFont val="Lucida Casual"/>
        <family val="4"/>
      </rPr>
      <t xml:space="preserve">EMOGRÁFICOS Y </t>
    </r>
    <r>
      <rPr>
        <sz val="12"/>
        <color indexed="10"/>
        <rFont val="Lucida Casual"/>
        <family val="4"/>
      </rPr>
      <t>S</t>
    </r>
    <r>
      <rPr>
        <sz val="8"/>
        <color indexed="12"/>
        <rFont val="Lucida Casual"/>
        <family val="4"/>
      </rPr>
      <t>OCIALES</t>
    </r>
  </si>
  <si>
    <r>
      <t>S</t>
    </r>
    <r>
      <rPr>
        <sz val="10"/>
        <color indexed="12"/>
        <rFont val="Lucida Casual"/>
        <family val="4"/>
      </rPr>
      <t xml:space="preserve">ERVICIOS </t>
    </r>
    <r>
      <rPr>
        <sz val="12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 xml:space="preserve">ÁSICOS DEL </t>
    </r>
    <r>
      <rPr>
        <sz val="12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 xml:space="preserve">REA DE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 xml:space="preserve">NFLUENCIA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</si>
  <si>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Nivel</t>
  </si>
  <si>
    <t>Cobertura (%)</t>
  </si>
  <si>
    <t>Idioma:</t>
  </si>
  <si>
    <t>Fluvial y Lacustre</t>
  </si>
  <si>
    <t>Causas más frecuentes de Enfermedad (Estructura de la Morbilidad)</t>
  </si>
  <si>
    <t>Principales Causas de Muerte</t>
  </si>
  <si>
    <t>Principales Causas de Insatisfacción de los Usuarios</t>
  </si>
  <si>
    <t>por 1000 nacidos vivos</t>
  </si>
  <si>
    <t>por 100.000</t>
  </si>
  <si>
    <t>15 a 49 años</t>
  </si>
  <si>
    <t>50 a 59 años</t>
  </si>
  <si>
    <t>SBS - Prestaciones a la Madre</t>
  </si>
  <si>
    <t>SBS - Prestaciones al Niño</t>
  </si>
  <si>
    <t>SBS - Prestaciones Generales</t>
  </si>
  <si>
    <t>Otros Ingresos</t>
  </si>
  <si>
    <t xml:space="preserve">   Atención Prenatal</t>
  </si>
  <si>
    <t xml:space="preserve">   Atención de Parto</t>
  </si>
  <si>
    <t xml:space="preserve">   Atención Post-Parto</t>
  </si>
  <si>
    <t xml:space="preserve">   Crecimiento y Desarrollo</t>
  </si>
  <si>
    <t xml:space="preserve">   Salud Sexual y Reproductiva</t>
  </si>
  <si>
    <t xml:space="preserve">   Tuberculosis</t>
  </si>
  <si>
    <t>Tasa de Crecimiento (últimos 3 años):</t>
  </si>
  <si>
    <t>Grupos Étnicos:</t>
  </si>
  <si>
    <t>Tamaño Promedio de las Familias:</t>
  </si>
  <si>
    <t>No. Aproximado de Familias:</t>
  </si>
  <si>
    <t>Nivel Promedio Educativo de la Madre:</t>
  </si>
  <si>
    <t>No. Promedio de Hijos en Escuela:</t>
  </si>
  <si>
    <t>Principal Actividad Económica:</t>
  </si>
  <si>
    <r>
      <t xml:space="preserve">Ingreso Familiar Promedio </t>
    </r>
    <r>
      <rPr>
        <sz val="10"/>
        <rFont val="Arial"/>
        <family val="2"/>
      </rPr>
      <t>Mensual:</t>
    </r>
  </si>
  <si>
    <t>Altura sobre el Nivel del Mar</t>
  </si>
  <si>
    <t>Volúmen de Lluvia Anual</t>
  </si>
  <si>
    <t>Camino de Herradura</t>
  </si>
  <si>
    <t>Indicador de Frecuencia Anual</t>
  </si>
  <si>
    <t>Población</t>
  </si>
  <si>
    <t>Servicios</t>
  </si>
  <si>
    <t>Nivel de Complejidad</t>
  </si>
  <si>
    <t>Demanda</t>
  </si>
  <si>
    <t>Capacidad</t>
  </si>
  <si>
    <t>Oferta</t>
  </si>
  <si>
    <t>Deficit de Capacidad</t>
  </si>
  <si>
    <t>Deficit de Oferta</t>
  </si>
  <si>
    <t>Indicadores por Servicio</t>
  </si>
  <si>
    <t>Ingresos Propios</t>
  </si>
  <si>
    <t>Atiende Poblac. de Otra Zona</t>
  </si>
  <si>
    <t>SITUACION SIN PROYECTO (BASE OPTIMIZADA)</t>
  </si>
  <si>
    <t>Impuesto Específico Hidrocarb.</t>
  </si>
  <si>
    <t>B / C</t>
  </si>
  <si>
    <t>TIRP</t>
  </si>
  <si>
    <t>VAIP</t>
  </si>
  <si>
    <t>TIRS</t>
  </si>
  <si>
    <t>VAIS</t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</si>
  <si>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4"/>
        <color indexed="10"/>
        <rFont val="Lucida Casual"/>
        <family val="4"/>
      </rPr>
      <t>E</t>
    </r>
    <r>
      <rPr>
        <sz val="12"/>
        <color indexed="48"/>
        <rFont val="Lucida Casual"/>
        <family val="4"/>
      </rPr>
      <t>CONÓMICOS</t>
    </r>
  </si>
  <si>
    <t>% de Cambio</t>
  </si>
  <si>
    <t>Costos de Operación</t>
  </si>
  <si>
    <t>Cambio Inversión</t>
  </si>
  <si>
    <t>Cambio Operación</t>
  </si>
  <si>
    <r>
      <t>A</t>
    </r>
    <r>
      <rPr>
        <sz val="10"/>
        <color indexed="12"/>
        <rFont val="Lucida Casual"/>
        <family val="4"/>
      </rPr>
      <t xml:space="preserve">REA DE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>NFLUENCIA</t>
    </r>
  </si>
  <si>
    <t>Construcción</t>
  </si>
  <si>
    <t>Ampliación</t>
  </si>
  <si>
    <t>Dólares</t>
  </si>
  <si>
    <t>RBC Privado</t>
  </si>
  <si>
    <t>RBC Social</t>
  </si>
  <si>
    <t>Max</t>
  </si>
  <si>
    <t>Min</t>
  </si>
  <si>
    <t>AREA</t>
  </si>
  <si>
    <t>Rural</t>
  </si>
  <si>
    <r>
      <t>I</t>
    </r>
    <r>
      <rPr>
        <sz val="12"/>
        <color indexed="48"/>
        <rFont val="Lucida Casual"/>
        <family val="4"/>
      </rPr>
      <t xml:space="preserve">NDICADORES DE </t>
    </r>
    <r>
      <rPr>
        <sz val="14"/>
        <color indexed="10"/>
        <rFont val="Lucida Casual"/>
        <family val="4"/>
      </rPr>
      <t>C</t>
    </r>
    <r>
      <rPr>
        <sz val="12"/>
        <color indexed="48"/>
        <rFont val="Lucida Casual"/>
        <family val="4"/>
      </rPr>
      <t xml:space="preserve">OSTO - </t>
    </r>
    <r>
      <rPr>
        <sz val="14"/>
        <color indexed="10"/>
        <rFont val="Lucida Casual"/>
        <family val="0"/>
      </rPr>
      <t>E</t>
    </r>
    <r>
      <rPr>
        <sz val="12"/>
        <color indexed="48"/>
        <rFont val="Lucida Casual"/>
        <family val="4"/>
      </rPr>
      <t>FICIENCIA</t>
    </r>
  </si>
  <si>
    <r>
      <t xml:space="preserve">Préstamo - </t>
    </r>
    <r>
      <rPr>
        <sz val="8"/>
        <color indexed="10"/>
        <rFont val="Arial"/>
        <family val="2"/>
      </rPr>
      <t>Escribir valores con signo (-)</t>
    </r>
  </si>
  <si>
    <t>CAEP / Beneficiario</t>
  </si>
  <si>
    <t>CAES / Beneficiario</t>
  </si>
  <si>
    <t>CAEP (Oper y Mant) / Beneficiario</t>
  </si>
  <si>
    <t>CAES (Oper y Mant) / Beneficiario</t>
  </si>
  <si>
    <t>VACP / Beneficiario</t>
  </si>
  <si>
    <t>VACS / Beneficiario</t>
  </si>
  <si>
    <t>VACP (Construcción)</t>
  </si>
  <si>
    <t>VACP (Ampliación)</t>
  </si>
  <si>
    <t>VACP (Equipamiento)</t>
  </si>
  <si>
    <t>CAEP (Operación y Mantenimiento)</t>
  </si>
  <si>
    <t>VACP (Operación y Mantenimiento)</t>
  </si>
  <si>
    <t xml:space="preserve">  Construcción Nueva</t>
  </si>
  <si>
    <t xml:space="preserve">  Refacción o Ampliación</t>
  </si>
  <si>
    <t>VACS (Construcción)</t>
  </si>
  <si>
    <t>VACS (Ampliación)</t>
  </si>
  <si>
    <t>VACS (Equipamiento)</t>
  </si>
  <si>
    <t>VACS (Operación y Mantenimiento)</t>
  </si>
  <si>
    <t>CAES (Operación y Mantenimiento)</t>
  </si>
  <si>
    <t>No se calcula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</si>
  <si>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Construcción</t>
    </r>
  </si>
  <si>
    <r>
      <t>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de Refacción</t>
    </r>
  </si>
  <si>
    <t>VACP (Refacción o Ampliación)</t>
  </si>
  <si>
    <t>VACS (Refacción o Ampliación)</t>
  </si>
  <si>
    <r>
      <t>Total 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</si>
  <si>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Totales</t>
    </r>
  </si>
  <si>
    <r>
      <t>R</t>
    </r>
    <r>
      <rPr>
        <sz val="10"/>
        <color indexed="12"/>
        <rFont val="Lucida Casual"/>
        <family val="4"/>
      </rPr>
      <t>EGIÓN</t>
    </r>
  </si>
  <si>
    <t>ALTIPLANO</t>
  </si>
  <si>
    <t>VALLES</t>
  </si>
  <si>
    <t>LLANOS</t>
  </si>
  <si>
    <t>VACS (Infraestructura) / m2 totales</t>
  </si>
  <si>
    <t>VACP(Infraest.) / m2 totales</t>
  </si>
  <si>
    <t>CAEP(Op y Mant) / Beneficiario</t>
  </si>
  <si>
    <t>VACP (Infraest.) / m2 totales</t>
  </si>
  <si>
    <t>VACS (Infraest.) / m2 totales</t>
  </si>
  <si>
    <t>Tipo de Cambio  (Bs. por Dólar)</t>
  </si>
  <si>
    <t>Otro</t>
  </si>
  <si>
    <t>Financiamiento Interno -</t>
  </si>
  <si>
    <t>Otros Ingresos Seguro Básico de Salud</t>
  </si>
  <si>
    <t xml:space="preserve">  Enfermedades Digestivas Agudas (EDA)</t>
  </si>
  <si>
    <t xml:space="preserve">  Infecciones Respiratorias Agudas (IRA)</t>
  </si>
  <si>
    <t xml:space="preserve">  Programa Ampliado de Inmunización (PAI)</t>
  </si>
  <si>
    <t>TOTAL DEMANDA</t>
  </si>
  <si>
    <t>Valor Actual de la Oferta</t>
  </si>
  <si>
    <t>Oferta Actual</t>
  </si>
  <si>
    <t>Demanda Actual</t>
  </si>
  <si>
    <t>TOTAL OFERTA</t>
  </si>
  <si>
    <t>Atenciones</t>
  </si>
  <si>
    <t>Incremental</t>
  </si>
  <si>
    <t>Meta           (Promedio anual con Proyecto)</t>
  </si>
  <si>
    <t>CAEP (O y M) / Atenciones Esperadas</t>
  </si>
  <si>
    <t>CAES (O y M) / Atenciones Esperadas</t>
  </si>
  <si>
    <t>Total al Final del Proyecto</t>
  </si>
  <si>
    <r>
      <t>M</t>
    </r>
    <r>
      <rPr>
        <sz val="10"/>
        <color indexed="12"/>
        <rFont val="Lucida Casual"/>
        <family val="4"/>
      </rPr>
      <t xml:space="preserve">ETAS </t>
    </r>
    <r>
      <rPr>
        <sz val="12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 xml:space="preserve">NUALES DE </t>
    </r>
    <r>
      <rPr>
        <sz val="12"/>
        <color indexed="10"/>
        <rFont val="Lucida Casual"/>
        <family val="4"/>
      </rPr>
      <t>C</t>
    </r>
    <r>
      <rPr>
        <sz val="10"/>
        <color indexed="12"/>
        <rFont val="Lucida Casual"/>
        <family val="4"/>
      </rPr>
      <t>OBERTURA DEL</t>
    </r>
    <r>
      <rPr>
        <sz val="12"/>
        <color indexed="10"/>
        <rFont val="Lucida Casual"/>
        <family val="4"/>
      </rPr>
      <t xml:space="preserve"> P</t>
    </r>
    <r>
      <rPr>
        <sz val="10"/>
        <color indexed="12"/>
        <rFont val="Lucida Casual"/>
        <family val="4"/>
      </rPr>
      <t>ROYECTO</t>
    </r>
  </si>
  <si>
    <t>% del Déficit cubierto por el Proyecto</t>
  </si>
  <si>
    <r>
      <t>O</t>
    </r>
    <r>
      <rPr>
        <sz val="11"/>
        <color indexed="12"/>
        <rFont val="Lucida Casual"/>
        <family val="4"/>
      </rPr>
      <t>TROS</t>
    </r>
    <r>
      <rPr>
        <sz val="11"/>
        <color indexed="10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I</t>
    </r>
    <r>
      <rPr>
        <sz val="11"/>
        <color indexed="12"/>
        <rFont val="Lucida Casual"/>
        <family val="4"/>
      </rPr>
      <t>NDICADORES</t>
    </r>
    <r>
      <rPr>
        <sz val="11"/>
        <color indexed="48"/>
        <rFont val="Lucida Casual"/>
        <family val="4"/>
      </rPr>
      <t xml:space="preserve"> </t>
    </r>
    <r>
      <rPr>
        <sz val="16"/>
        <color indexed="10"/>
        <rFont val="Lucida Casual"/>
        <family val="0"/>
      </rPr>
      <t>E</t>
    </r>
    <r>
      <rPr>
        <sz val="11"/>
        <color indexed="12"/>
        <rFont val="Lucida Casual"/>
        <family val="4"/>
      </rPr>
      <t xml:space="preserve">STANDAR </t>
    </r>
    <r>
      <rPr>
        <sz val="12"/>
        <color indexed="12"/>
        <rFont val="Lucida Casual"/>
        <family val="4"/>
      </rPr>
      <t>P</t>
    </r>
    <r>
      <rPr>
        <sz val="11"/>
        <color indexed="12"/>
        <rFont val="Lucida Casual"/>
        <family val="4"/>
      </rPr>
      <t xml:space="preserve">ARA </t>
    </r>
    <r>
      <rPr>
        <sz val="16"/>
        <color indexed="10"/>
        <rFont val="Lucida Casual"/>
        <family val="0"/>
      </rPr>
      <t>P</t>
    </r>
    <r>
      <rPr>
        <sz val="11"/>
        <color indexed="12"/>
        <rFont val="Lucida Casual"/>
        <family val="4"/>
      </rPr>
      <t xml:space="preserve">ROYECTOS </t>
    </r>
    <r>
      <rPr>
        <b/>
        <sz val="16"/>
        <color indexed="10"/>
        <rFont val="Lucida Casual"/>
        <family val="4"/>
      </rPr>
      <t>S</t>
    </r>
    <r>
      <rPr>
        <sz val="11"/>
        <color indexed="12"/>
        <rFont val="Lucida Casual"/>
        <family val="4"/>
      </rPr>
      <t>IMILARES</t>
    </r>
  </si>
  <si>
    <t>Financiamiento Externo</t>
  </si>
  <si>
    <r>
      <t>A</t>
    </r>
    <r>
      <rPr>
        <b/>
        <sz val="12"/>
        <color indexed="12"/>
        <rFont val="Lucida Casual"/>
        <family val="4"/>
      </rPr>
      <t xml:space="preserve">LTERNATIVA DE </t>
    </r>
    <r>
      <rPr>
        <b/>
        <sz val="16"/>
        <color indexed="10"/>
        <rFont val="Lucida Casual"/>
        <family val="4"/>
      </rPr>
      <t>S</t>
    </r>
    <r>
      <rPr>
        <b/>
        <sz val="12"/>
        <color indexed="12"/>
        <rFont val="Lucida Casual"/>
        <family val="4"/>
      </rPr>
      <t>OLUCIÓN - INGENIERÍA DEL PROYECTO</t>
    </r>
  </si>
  <si>
    <t>VACP (Infraestructura)/m2 totales</t>
  </si>
</sst>
</file>

<file path=xl/styles.xml><?xml version="1.0" encoding="utf-8"?>
<styleSheet xmlns="http://schemas.openxmlformats.org/spreadsheetml/2006/main">
  <numFmts count="49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$&quot;"/>
    <numFmt numFmtId="201" formatCode="mmmm\ d\,\ yyyy"/>
    <numFmt numFmtId="202" formatCode="0.0"/>
    <numFmt numFmtId="203" formatCode="0.00000"/>
    <numFmt numFmtId="204" formatCode="#,##0.0"/>
  </numFmts>
  <fonts count="61"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imes New Roman"/>
      <family val="1"/>
    </font>
    <font>
      <b/>
      <sz val="8"/>
      <name val="Tahoma"/>
      <family val="0"/>
    </font>
    <font>
      <sz val="6"/>
      <name val="MS Serif"/>
      <family val="1"/>
    </font>
    <font>
      <b/>
      <sz val="12"/>
      <color indexed="18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sz val="10"/>
      <color indexed="22"/>
      <name val="Arial"/>
      <family val="2"/>
    </font>
    <font>
      <sz val="10"/>
      <color indexed="12"/>
      <name val="Lucida Handwriting"/>
      <family val="4"/>
    </font>
    <font>
      <sz val="12"/>
      <color indexed="10"/>
      <name val="Lucida Handwriting"/>
      <family val="4"/>
    </font>
    <font>
      <sz val="14"/>
      <color indexed="10"/>
      <name val="Lucida Handwriting"/>
      <family val="4"/>
    </font>
    <font>
      <b/>
      <sz val="14"/>
      <color indexed="10"/>
      <name val="Lucida Handwriting"/>
      <family val="4"/>
    </font>
    <font>
      <b/>
      <sz val="10"/>
      <color indexed="18"/>
      <name val="Lucida Handwriting"/>
      <family val="4"/>
    </font>
    <font>
      <sz val="10"/>
      <name val="Lucida Handwriting"/>
      <family val="4"/>
    </font>
    <font>
      <b/>
      <i/>
      <sz val="10"/>
      <name val="Lucida Handwriting"/>
      <family val="4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4"/>
      <color indexed="10"/>
      <name val="Lucida Casual"/>
      <family val="4"/>
    </font>
    <font>
      <sz val="16"/>
      <color indexed="10"/>
      <name val="Lucida Casual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Lucida Casual"/>
      <family val="4"/>
    </font>
    <font>
      <b/>
      <sz val="12"/>
      <color indexed="12"/>
      <name val="Lucida Casual"/>
      <family val="4"/>
    </font>
    <font>
      <b/>
      <sz val="12"/>
      <color indexed="10"/>
      <name val="Lucida Casual"/>
      <family val="4"/>
    </font>
    <font>
      <sz val="12"/>
      <color indexed="10"/>
      <name val="Lucida Casual"/>
      <family val="4"/>
    </font>
    <font>
      <sz val="10"/>
      <color indexed="12"/>
      <name val="Lucida Casual"/>
      <family val="4"/>
    </font>
    <font>
      <sz val="12"/>
      <color indexed="12"/>
      <name val="Lucida Casual"/>
      <family val="4"/>
    </font>
    <font>
      <sz val="10"/>
      <color indexed="10"/>
      <name val="Lucida Casual"/>
      <family val="4"/>
    </font>
    <font>
      <sz val="8"/>
      <color indexed="12"/>
      <name val="Lucida Casual"/>
      <family val="4"/>
    </font>
    <font>
      <sz val="8"/>
      <color indexed="10"/>
      <name val="Lucida Casual"/>
      <family val="4"/>
    </font>
    <font>
      <sz val="10"/>
      <name val="Lucida Casual"/>
      <family val="4"/>
    </font>
    <font>
      <b/>
      <sz val="10"/>
      <name val="Lucida Casual"/>
      <family val="4"/>
    </font>
    <font>
      <sz val="12"/>
      <color indexed="48"/>
      <name val="Lucida Casual"/>
      <family val="4"/>
    </font>
    <font>
      <sz val="10"/>
      <color indexed="48"/>
      <name val="Lucida Casual"/>
      <family val="4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2"/>
      <name val="Lucida Casual"/>
      <family val="4"/>
    </font>
    <font>
      <sz val="16"/>
      <color indexed="48"/>
      <name val="Lucida Casual"/>
      <family val="4"/>
    </font>
    <font>
      <sz val="18"/>
      <color indexed="10"/>
      <name val="Lucida Casual"/>
      <family val="4"/>
    </font>
    <font>
      <sz val="18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Lucida Casual"/>
      <family val="4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0"/>
      <color indexed="12"/>
      <name val="Arial"/>
      <family val="2"/>
    </font>
    <font>
      <b/>
      <sz val="16"/>
      <color indexed="10"/>
      <name val="Lucida Casual"/>
      <family val="4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1"/>
      <color indexed="12"/>
      <name val="Lucida Casual"/>
      <family val="4"/>
    </font>
    <font>
      <sz val="11"/>
      <color indexed="10"/>
      <name val="Lucida Casual"/>
      <family val="4"/>
    </font>
    <font>
      <sz val="11"/>
      <color indexed="48"/>
      <name val="Lucida Casual"/>
      <family val="4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lightGray">
        <fgColor indexed="22"/>
      </patternFill>
    </fill>
    <fill>
      <patternFill patternType="lightGray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1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14" fillId="0" borderId="0" xfId="0" applyFont="1" applyAlignment="1">
      <alignment/>
    </xf>
    <xf numFmtId="201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top" wrapText="1"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left"/>
    </xf>
    <xf numFmtId="0" fontId="33" fillId="0" borderId="0" xfId="0" applyFont="1" applyFill="1" applyBorder="1" applyAlignment="1">
      <alignment horizontal="left"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9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0" fillId="2" borderId="3" xfId="0" applyFont="1" applyFill="1" applyBorder="1" applyAlignment="1" applyProtection="1">
      <alignment horizontal="left"/>
      <protection/>
    </xf>
    <xf numFmtId="0" fontId="0" fillId="2" borderId="7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 horizontal="left"/>
      <protection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1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3" fillId="2" borderId="1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1" fillId="2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/>
      <protection locked="0"/>
    </xf>
    <xf numFmtId="0" fontId="21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10" fontId="0" fillId="4" borderId="6" xfId="0" applyNumberFormat="1" applyFill="1" applyBorder="1" applyAlignment="1">
      <alignment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center"/>
      <protection locked="0"/>
    </xf>
    <xf numFmtId="10" fontId="4" fillId="0" borderId="19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right"/>
      <protection locked="0"/>
    </xf>
    <xf numFmtId="0" fontId="52" fillId="2" borderId="21" xfId="0" applyFont="1" applyFill="1" applyBorder="1" applyAlignment="1" applyProtection="1">
      <alignment/>
      <protection hidden="1" locked="0"/>
    </xf>
    <xf numFmtId="0" fontId="52" fillId="2" borderId="22" xfId="0" applyFont="1" applyFill="1" applyBorder="1" applyAlignment="1" applyProtection="1">
      <alignment wrapText="1"/>
      <protection hidden="1" locked="0"/>
    </xf>
    <xf numFmtId="0" fontId="52" fillId="2" borderId="23" xfId="0" applyFont="1" applyFill="1" applyBorder="1" applyAlignment="1" applyProtection="1">
      <alignment wrapText="1"/>
      <protection hidden="1" locked="0"/>
    </xf>
    <xf numFmtId="0" fontId="52" fillId="2" borderId="0" xfId="0" applyFont="1" applyFill="1" applyBorder="1" applyAlignment="1" applyProtection="1">
      <alignment/>
      <protection hidden="1" locked="0"/>
    </xf>
    <xf numFmtId="0" fontId="52" fillId="2" borderId="1" xfId="0" applyFont="1" applyFill="1" applyBorder="1" applyAlignment="1" applyProtection="1">
      <alignment wrapText="1"/>
      <protection hidden="1" locked="0"/>
    </xf>
    <xf numFmtId="0" fontId="52" fillId="2" borderId="24" xfId="0" applyFont="1" applyFill="1" applyBorder="1" applyAlignment="1" applyProtection="1">
      <alignment wrapText="1"/>
      <protection hidden="1" locked="0"/>
    </xf>
    <xf numFmtId="0" fontId="52" fillId="2" borderId="1" xfId="0" applyFont="1" applyFill="1" applyBorder="1" applyAlignment="1" applyProtection="1">
      <alignment/>
      <protection hidden="1" locked="0"/>
    </xf>
    <xf numFmtId="0" fontId="52" fillId="2" borderId="24" xfId="0" applyFont="1" applyFill="1" applyBorder="1" applyAlignment="1" applyProtection="1">
      <alignment/>
      <protection hidden="1" locked="0"/>
    </xf>
    <xf numFmtId="0" fontId="52" fillId="2" borderId="25" xfId="0" applyFont="1" applyFill="1" applyBorder="1" applyAlignment="1" applyProtection="1">
      <alignment/>
      <protection hidden="1" locked="0"/>
    </xf>
    <xf numFmtId="0" fontId="52" fillId="2" borderId="26" xfId="0" applyFont="1" applyFill="1" applyBorder="1" applyAlignment="1" applyProtection="1">
      <alignment/>
      <protection hidden="1" locked="0"/>
    </xf>
    <xf numFmtId="0" fontId="52" fillId="2" borderId="27" xfId="0" applyFont="1" applyFill="1" applyBorder="1" applyAlignment="1" applyProtection="1">
      <alignment/>
      <protection hidden="1" locked="0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9" fontId="0" fillId="0" borderId="3" xfId="0" applyNumberFormat="1" applyFill="1" applyBorder="1" applyAlignment="1" applyProtection="1">
      <alignment horizontal="center"/>
      <protection locked="0"/>
    </xf>
    <xf numFmtId="0" fontId="53" fillId="0" borderId="0" xfId="0" applyFont="1" applyBorder="1" applyAlignment="1">
      <alignment horizontal="left"/>
    </xf>
    <xf numFmtId="0" fontId="39" fillId="2" borderId="0" xfId="0" applyFont="1" applyFill="1" applyAlignment="1">
      <alignment/>
    </xf>
    <xf numFmtId="0" fontId="4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10" fontId="0" fillId="0" borderId="28" xfId="0" applyNumberFormat="1" applyFill="1" applyBorder="1" applyAlignment="1" applyProtection="1">
      <alignment/>
      <protection locked="0"/>
    </xf>
    <xf numFmtId="3" fontId="0" fillId="5" borderId="19" xfId="0" applyNumberFormat="1" applyFill="1" applyBorder="1" applyAlignment="1">
      <alignment/>
    </xf>
    <xf numFmtId="3" fontId="0" fillId="0" borderId="19" xfId="0" applyNumberFormat="1" applyFill="1" applyBorder="1" applyAlignment="1" applyProtection="1">
      <alignment/>
      <protection locked="0"/>
    </xf>
    <xf numFmtId="10" fontId="0" fillId="0" borderId="19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2" borderId="29" xfId="0" applyFill="1" applyBorder="1" applyAlignment="1" applyProtection="1">
      <alignment horizontal="center"/>
      <protection/>
    </xf>
    <xf numFmtId="0" fontId="0" fillId="2" borderId="3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2" borderId="20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 locked="0"/>
    </xf>
    <xf numFmtId="0" fontId="0" fillId="5" borderId="4" xfId="0" applyFill="1" applyBorder="1" applyAlignment="1">
      <alignment/>
    </xf>
    <xf numFmtId="0" fontId="0" fillId="2" borderId="32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4" fillId="2" borderId="34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3" fontId="0" fillId="2" borderId="3" xfId="0" applyNumberFormat="1" applyFont="1" applyFill="1" applyBorder="1" applyAlignment="1" applyProtection="1">
      <alignment horizontal="right"/>
      <protection/>
    </xf>
    <xf numFmtId="3" fontId="0" fillId="4" borderId="3" xfId="0" applyNumberFormat="1" applyFill="1" applyBorder="1" applyAlignment="1">
      <alignment/>
    </xf>
    <xf numFmtId="3" fontId="0" fillId="2" borderId="3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0" fontId="0" fillId="2" borderId="19" xfId="0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2" borderId="3" xfId="0" applyFont="1" applyFill="1" applyBorder="1" applyAlignment="1" applyProtection="1">
      <alignment horizontal="center"/>
      <protection/>
    </xf>
    <xf numFmtId="1" fontId="21" fillId="2" borderId="3" xfId="0" applyNumberFormat="1" applyFont="1" applyFill="1" applyBorder="1" applyAlignment="1" applyProtection="1">
      <alignment horizontal="center"/>
      <protection/>
    </xf>
    <xf numFmtId="0" fontId="0" fillId="2" borderId="27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0" fontId="0" fillId="0" borderId="5" xfId="0" applyNumberFormat="1" applyBorder="1" applyAlignment="1" applyProtection="1">
      <alignment horizontal="center"/>
      <protection locked="0"/>
    </xf>
    <xf numFmtId="0" fontId="4" fillId="2" borderId="39" xfId="0" applyFont="1" applyFill="1" applyBorder="1" applyAlignment="1">
      <alignment horizontal="center" vertical="center" wrapText="1"/>
    </xf>
    <xf numFmtId="10" fontId="0" fillId="0" borderId="3" xfId="0" applyNumberFormat="1" applyBorder="1" applyAlignment="1" applyProtection="1">
      <alignment horizontal="center"/>
      <protection locked="0"/>
    </xf>
    <xf numFmtId="10" fontId="0" fillId="0" borderId="20" xfId="0" applyNumberFormat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1" fontId="0" fillId="3" borderId="40" xfId="0" applyNumberFormat="1" applyFill="1" applyBorder="1" applyAlignment="1" applyProtection="1">
      <alignment/>
      <protection/>
    </xf>
    <xf numFmtId="1" fontId="0" fillId="2" borderId="16" xfId="0" applyNumberFormat="1" applyFill="1" applyBorder="1" applyAlignment="1" applyProtection="1">
      <alignment horizontal="right"/>
      <protection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3" fontId="55" fillId="5" borderId="19" xfId="0" applyNumberFormat="1" applyFont="1" applyFill="1" applyBorder="1" applyAlignment="1">
      <alignment/>
    </xf>
    <xf numFmtId="3" fontId="55" fillId="0" borderId="19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10" fontId="0" fillId="0" borderId="3" xfId="0" applyNumberFormat="1" applyBorder="1" applyAlignment="1">
      <alignment/>
    </xf>
    <xf numFmtId="0" fontId="25" fillId="0" borderId="0" xfId="0" applyFont="1" applyAlignment="1">
      <alignment horizontal="left"/>
    </xf>
    <xf numFmtId="0" fontId="0" fillId="2" borderId="3" xfId="0" applyFill="1" applyBorder="1" applyAlignment="1">
      <alignment horizontal="center"/>
    </xf>
    <xf numFmtId="4" fontId="0" fillId="0" borderId="19" xfId="0" applyNumberFormat="1" applyBorder="1" applyAlignment="1" applyProtection="1">
      <alignment horizontal="center" vertical="center"/>
      <protection locked="0"/>
    </xf>
    <xf numFmtId="2" fontId="20" fillId="4" borderId="3" xfId="0" applyNumberFormat="1" applyFont="1" applyFill="1" applyBorder="1" applyAlignment="1">
      <alignment/>
    </xf>
    <xf numFmtId="0" fontId="20" fillId="2" borderId="3" xfId="0" applyFont="1" applyFill="1" applyBorder="1" applyAlignment="1">
      <alignment/>
    </xf>
    <xf numFmtId="9" fontId="20" fillId="0" borderId="3" xfId="0" applyNumberFormat="1" applyFont="1" applyBorder="1" applyAlignment="1" applyProtection="1">
      <alignment/>
      <protection locked="0"/>
    </xf>
    <xf numFmtId="4" fontId="20" fillId="6" borderId="3" xfId="0" applyNumberFormat="1" applyFont="1" applyFill="1" applyBorder="1" applyAlignment="1">
      <alignment/>
    </xf>
    <xf numFmtId="0" fontId="20" fillId="2" borderId="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49" fillId="7" borderId="8" xfId="0" applyFont="1" applyFill="1" applyBorder="1" applyAlignment="1" applyProtection="1">
      <alignment horizontal="left"/>
      <protection/>
    </xf>
    <xf numFmtId="3" fontId="0" fillId="2" borderId="3" xfId="0" applyNumberFormat="1" applyFont="1" applyFill="1" applyBorder="1" applyAlignment="1">
      <alignment/>
    </xf>
    <xf numFmtId="3" fontId="0" fillId="2" borderId="20" xfId="0" applyNumberFormat="1" applyFont="1" applyFill="1" applyBorder="1" applyAlignment="1" applyProtection="1">
      <alignment horizontal="right"/>
      <protection/>
    </xf>
    <xf numFmtId="3" fontId="0" fillId="4" borderId="31" xfId="0" applyNumberFormat="1" applyFill="1" applyBorder="1" applyAlignment="1">
      <alignment/>
    </xf>
    <xf numFmtId="0" fontId="0" fillId="2" borderId="15" xfId="0" applyFont="1" applyFill="1" applyBorder="1" applyAlignment="1" applyProtection="1">
      <alignment horizontal="left"/>
      <protection/>
    </xf>
    <xf numFmtId="3" fontId="0" fillId="5" borderId="3" xfId="0" applyNumberFormat="1" applyFill="1" applyBorder="1" applyAlignment="1">
      <alignment/>
    </xf>
    <xf numFmtId="1" fontId="0" fillId="5" borderId="3" xfId="0" applyNumberFormat="1" applyFill="1" applyBorder="1" applyAlignment="1">
      <alignment/>
    </xf>
    <xf numFmtId="0" fontId="51" fillId="2" borderId="8" xfId="0" applyFont="1" applyFill="1" applyBorder="1" applyAlignment="1" applyProtection="1">
      <alignment horizontal="left"/>
      <protection hidden="1"/>
    </xf>
    <xf numFmtId="3" fontId="0" fillId="5" borderId="28" xfId="0" applyNumberFormat="1" applyFill="1" applyBorder="1" applyAlignment="1">
      <alignment/>
    </xf>
    <xf numFmtId="3" fontId="0" fillId="5" borderId="4" xfId="0" applyNumberFormat="1" applyFill="1" applyBorder="1" applyAlignment="1">
      <alignment/>
    </xf>
    <xf numFmtId="1" fontId="0" fillId="5" borderId="4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3" fontId="0" fillId="5" borderId="6" xfId="0" applyNumberFormat="1" applyFill="1" applyBorder="1" applyAlignment="1">
      <alignment/>
    </xf>
    <xf numFmtId="3" fontId="0" fillId="2" borderId="4" xfId="0" applyNumberFormat="1" applyFont="1" applyFill="1" applyBorder="1" applyAlignment="1" applyProtection="1">
      <alignment horizontal="right"/>
      <protection/>
    </xf>
    <xf numFmtId="3" fontId="0" fillId="4" borderId="4" xfId="0" applyNumberFormat="1" applyFont="1" applyFill="1" applyBorder="1" applyAlignment="1" applyProtection="1">
      <alignment horizontal="right"/>
      <protection/>
    </xf>
    <xf numFmtId="3" fontId="0" fillId="2" borderId="13" xfId="0" applyNumberFormat="1" applyFont="1" applyFill="1" applyBorder="1" applyAlignment="1" applyProtection="1">
      <alignment horizontal="right"/>
      <protection/>
    </xf>
    <xf numFmtId="3" fontId="0" fillId="4" borderId="43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2" borderId="4" xfId="0" applyNumberFormat="1" applyFill="1" applyBorder="1" applyAlignment="1" applyProtection="1">
      <alignment/>
      <protection/>
    </xf>
    <xf numFmtId="3" fontId="0" fillId="2" borderId="5" xfId="0" applyNumberFormat="1" applyFill="1" applyBorder="1" applyAlignment="1" applyProtection="1">
      <alignment/>
      <protection/>
    </xf>
    <xf numFmtId="3" fontId="0" fillId="2" borderId="6" xfId="0" applyNumberFormat="1" applyFill="1" applyBorder="1" applyAlignment="1" applyProtection="1">
      <alignment/>
      <protection/>
    </xf>
    <xf numFmtId="3" fontId="0" fillId="2" borderId="36" xfId="0" applyNumberFormat="1" applyFill="1" applyBorder="1" applyAlignment="1" applyProtection="1">
      <alignment/>
      <protection/>
    </xf>
    <xf numFmtId="3" fontId="0" fillId="2" borderId="28" xfId="0" applyNumberFormat="1" applyFill="1" applyBorder="1" applyAlignment="1" applyProtection="1">
      <alignment/>
      <protection/>
    </xf>
    <xf numFmtId="3" fontId="0" fillId="5" borderId="36" xfId="0" applyNumberFormat="1" applyFill="1" applyBorder="1" applyAlignment="1">
      <alignment/>
    </xf>
    <xf numFmtId="2" fontId="20" fillId="4" borderId="3" xfId="0" applyNumberFormat="1" applyFont="1" applyFill="1" applyBorder="1" applyAlignment="1">
      <alignment horizontal="right"/>
    </xf>
    <xf numFmtId="4" fontId="16" fillId="0" borderId="0" xfId="0" applyNumberFormat="1" applyFont="1" applyFill="1" applyAlignment="1" applyProtection="1">
      <alignment/>
      <protection locked="0"/>
    </xf>
    <xf numFmtId="4" fontId="10" fillId="0" borderId="0" xfId="0" applyNumberFormat="1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0" fontId="0" fillId="2" borderId="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4" fontId="17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10" fontId="20" fillId="4" borderId="3" xfId="0" applyNumberFormat="1" applyFont="1" applyFill="1" applyBorder="1" applyAlignment="1">
      <alignment/>
    </xf>
    <xf numFmtId="0" fontId="20" fillId="2" borderId="3" xfId="0" applyFont="1" applyFill="1" applyBorder="1" applyAlignment="1">
      <alignment horizontal="center"/>
    </xf>
    <xf numFmtId="3" fontId="20" fillId="6" borderId="3" xfId="0" applyNumberFormat="1" applyFont="1" applyFill="1" applyBorder="1" applyAlignment="1">
      <alignment/>
    </xf>
    <xf numFmtId="204" fontId="20" fillId="6" borderId="3" xfId="0" applyNumberFormat="1" applyFont="1" applyFill="1" applyBorder="1" applyAlignment="1">
      <alignment/>
    </xf>
    <xf numFmtId="0" fontId="4" fillId="2" borderId="3" xfId="0" applyFont="1" applyFill="1" applyBorder="1" applyAlignment="1" applyProtection="1">
      <alignment horizontal="left"/>
      <protection/>
    </xf>
    <xf numFmtId="1" fontId="4" fillId="2" borderId="3" xfId="0" applyNumberFormat="1" applyFont="1" applyFill="1" applyBorder="1" applyAlignment="1" applyProtection="1">
      <alignment horizontal="center"/>
      <protection/>
    </xf>
    <xf numFmtId="0" fontId="0" fillId="2" borderId="31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0" fontId="0" fillId="0" borderId="19" xfId="0" applyNumberForma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21" fillId="2" borderId="39" xfId="0" applyFont="1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 applyProtection="1">
      <alignment horizontal="center" vertical="center" wrapText="1"/>
      <protection/>
    </xf>
    <xf numFmtId="2" fontId="0" fillId="4" borderId="4" xfId="0" applyNumberFormat="1" applyFill="1" applyBorder="1" applyAlignment="1">
      <alignment/>
    </xf>
    <xf numFmtId="0" fontId="0" fillId="0" borderId="15" xfId="0" applyBorder="1" applyAlignment="1" applyProtection="1">
      <alignment horizontal="left"/>
      <protection locked="0"/>
    </xf>
    <xf numFmtId="0" fontId="20" fillId="2" borderId="27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20" fillId="2" borderId="26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0" fillId="7" borderId="20" xfId="0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" fillId="2" borderId="4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/>
      <protection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/>
      <protection/>
    </xf>
    <xf numFmtId="0" fontId="4" fillId="2" borderId="45" xfId="0" applyFont="1" applyFill="1" applyBorder="1" applyAlignment="1" applyProtection="1">
      <alignment horizontal="center"/>
      <protection/>
    </xf>
    <xf numFmtId="0" fontId="4" fillId="2" borderId="46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20" fillId="2" borderId="3" xfId="0" applyFont="1" applyFill="1" applyBorder="1" applyAlignment="1">
      <alignment horizontal="center" vertical="center" wrapText="1"/>
    </xf>
    <xf numFmtId="0" fontId="20" fillId="2" borderId="14" xfId="0" applyNumberFormat="1" applyFont="1" applyFill="1" applyBorder="1" applyAlignment="1" applyProtection="1">
      <alignment horizontal="center" vertical="center"/>
      <protection/>
    </xf>
    <xf numFmtId="0" fontId="20" fillId="2" borderId="16" xfId="0" applyNumberFormat="1" applyFont="1" applyFill="1" applyBorder="1" applyAlignment="1" applyProtection="1">
      <alignment horizontal="center" vertical="center"/>
      <protection/>
    </xf>
    <xf numFmtId="0" fontId="20" fillId="2" borderId="47" xfId="0" applyNumberFormat="1" applyFont="1" applyFill="1" applyBorder="1" applyAlignment="1" applyProtection="1">
      <alignment horizontal="center" vertical="center"/>
      <protection/>
    </xf>
    <xf numFmtId="0" fontId="20" fillId="2" borderId="40" xfId="0" applyNumberFormat="1" applyFont="1" applyFill="1" applyBorder="1" applyAlignment="1" applyProtection="1">
      <alignment horizontal="center" vertical="center"/>
      <protection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0" fontId="0" fillId="0" borderId="40" xfId="0" applyNumberFormat="1" applyBorder="1" applyAlignment="1" applyProtection="1">
      <alignment horizontal="center"/>
      <protection locked="0"/>
    </xf>
    <xf numFmtId="10" fontId="0" fillId="0" borderId="6" xfId="0" applyNumberForma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21" fillId="2" borderId="41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3" fontId="0" fillId="2" borderId="15" xfId="0" applyNumberFormat="1" applyFill="1" applyBorder="1" applyAlignment="1" applyProtection="1">
      <alignment horizontal="center"/>
      <protection/>
    </xf>
    <xf numFmtId="3" fontId="0" fillId="2" borderId="16" xfId="0" applyNumberForma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10" fontId="0" fillId="0" borderId="16" xfId="0" applyNumberFormat="1" applyBorder="1" applyAlignment="1" applyProtection="1">
      <alignment horizontal="center"/>
      <protection locked="0"/>
    </xf>
    <xf numFmtId="10" fontId="0" fillId="0" borderId="4" xfId="0" applyNumberFormat="1" applyBorder="1" applyAlignment="1" applyProtection="1">
      <alignment horizontal="center"/>
      <protection locked="0"/>
    </xf>
    <xf numFmtId="10" fontId="0" fillId="0" borderId="23" xfId="0" applyNumberFormat="1" applyBorder="1" applyAlignment="1" applyProtection="1">
      <alignment horizontal="center"/>
      <protection locked="0"/>
    </xf>
    <xf numFmtId="10" fontId="0" fillId="0" borderId="13" xfId="0" applyNumberFormat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10" fontId="0" fillId="0" borderId="17" xfId="0" applyNumberFormat="1" applyBorder="1" applyAlignment="1" applyProtection="1">
      <alignment horizontal="center"/>
      <protection locked="0"/>
    </xf>
    <xf numFmtId="10" fontId="0" fillId="0" borderId="18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2" borderId="5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52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4" fillId="2" borderId="53" xfId="0" applyFon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37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2" fontId="0" fillId="0" borderId="37" xfId="0" applyNumberFormat="1" applyBorder="1" applyAlignment="1" applyProtection="1">
      <alignment horizontal="left"/>
      <protection locked="0"/>
    </xf>
    <xf numFmtId="2" fontId="0" fillId="0" borderId="54" xfId="0" applyNumberFormat="1" applyBorder="1" applyAlignment="1" applyProtection="1">
      <alignment horizontal="left"/>
      <protection locked="0"/>
    </xf>
    <xf numFmtId="2" fontId="0" fillId="0" borderId="55" xfId="0" applyNumberFormat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50" fillId="2" borderId="48" xfId="0" applyFont="1" applyFill="1" applyBorder="1" applyAlignment="1">
      <alignment horizontal="center" vertical="center" wrapText="1"/>
    </xf>
    <xf numFmtId="0" fontId="50" fillId="2" borderId="56" xfId="0" applyFont="1" applyFill="1" applyBorder="1" applyAlignment="1">
      <alignment horizontal="center" vertical="center" wrapText="1"/>
    </xf>
    <xf numFmtId="0" fontId="50" fillId="2" borderId="57" xfId="0" applyFont="1" applyFill="1" applyBorder="1" applyAlignment="1">
      <alignment horizontal="center" vertical="center" wrapText="1"/>
    </xf>
    <xf numFmtId="0" fontId="50" fillId="2" borderId="58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50" fillId="2" borderId="59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right"/>
      <protection/>
    </xf>
    <xf numFmtId="0" fontId="4" fillId="2" borderId="1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1" fillId="2" borderId="41" xfId="0" applyFont="1" applyFill="1" applyBorder="1" applyAlignment="1">
      <alignment horizontal="center" vertical="top" wrapText="1"/>
    </xf>
    <xf numFmtId="0" fontId="21" fillId="2" borderId="12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horizontal="left" vertical="top" wrapText="1"/>
    </xf>
    <xf numFmtId="0" fontId="20" fillId="2" borderId="14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21" fillId="2" borderId="47" xfId="0" applyFont="1" applyFill="1" applyBorder="1" applyAlignment="1">
      <alignment horizontal="left"/>
    </xf>
    <xf numFmtId="0" fontId="21" fillId="2" borderId="4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4" fillId="2" borderId="5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 vertical="top"/>
    </xf>
    <xf numFmtId="3" fontId="0" fillId="2" borderId="3" xfId="0" applyNumberFormat="1" applyFill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/>
    </xf>
    <xf numFmtId="0" fontId="4" fillId="2" borderId="11" xfId="0" applyFont="1" applyFill="1" applyBorder="1" applyAlignment="1">
      <alignment horizontal="center"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righ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/>
      <protection/>
    </xf>
    <xf numFmtId="0" fontId="0" fillId="2" borderId="14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left"/>
      <protection/>
    </xf>
    <xf numFmtId="0" fontId="0" fillId="2" borderId="16" xfId="0" applyFont="1" applyFill="1" applyBorder="1" applyAlignment="1" applyProtection="1">
      <alignment horizontal="left"/>
      <protection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0" fillId="2" borderId="20" xfId="0" applyNumberFormat="1" applyFill="1" applyBorder="1" applyAlignment="1" applyProtection="1">
      <alignment horizontal="right"/>
      <protection/>
    </xf>
    <xf numFmtId="3" fontId="0" fillId="2" borderId="13" xfId="0" applyNumberFormat="1" applyFill="1" applyBorder="1" applyAlignment="1" applyProtection="1">
      <alignment horizontal="right"/>
      <protection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3" fontId="0" fillId="0" borderId="17" xfId="0" applyNumberForma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0" fillId="2" borderId="5" xfId="0" applyNumberFormat="1" applyFill="1" applyBorder="1" applyAlignment="1" applyProtection="1">
      <alignment horizontal="right"/>
      <protection/>
    </xf>
    <xf numFmtId="3" fontId="0" fillId="2" borderId="6" xfId="0" applyNumberFormat="1" applyFill="1" applyBorder="1" applyAlignment="1" applyProtection="1">
      <alignment horizontal="right"/>
      <protection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3" xfId="0" applyFill="1" applyBorder="1" applyAlignment="1" applyProtection="1">
      <alignment horizontal="right"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16" xfId="0" applyFill="1" applyBorder="1" applyAlignment="1" applyProtection="1">
      <alignment horizontal="left" wrapText="1"/>
      <protection/>
    </xf>
    <xf numFmtId="0" fontId="4" fillId="2" borderId="5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0" fillId="2" borderId="47" xfId="0" applyFill="1" applyBorder="1" applyAlignment="1" applyProtection="1">
      <alignment horizontal="left" wrapText="1"/>
      <protection/>
    </xf>
    <xf numFmtId="0" fontId="0" fillId="2" borderId="54" xfId="0" applyFill="1" applyBorder="1" applyAlignment="1" applyProtection="1">
      <alignment horizontal="left" wrapText="1"/>
      <protection/>
    </xf>
    <xf numFmtId="0" fontId="0" fillId="2" borderId="40" xfId="0" applyFill="1" applyBorder="1" applyAlignment="1" applyProtection="1">
      <alignment horizontal="left" wrapText="1"/>
      <protection/>
    </xf>
    <xf numFmtId="0" fontId="49" fillId="0" borderId="0" xfId="0" applyFont="1" applyBorder="1" applyAlignment="1" applyProtection="1">
      <alignment horizontal="center"/>
      <protection hidden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1" fontId="4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3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2" xfId="0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/>
    </xf>
    <xf numFmtId="0" fontId="4" fillId="2" borderId="3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vertical="center" wrapText="1"/>
    </xf>
    <xf numFmtId="0" fontId="0" fillId="2" borderId="56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 applyProtection="1">
      <alignment horizontal="center" vertical="center"/>
      <protection/>
    </xf>
    <xf numFmtId="0" fontId="20" fillId="2" borderId="16" xfId="0" applyFont="1" applyFill="1" applyBorder="1" applyAlignment="1" applyProtection="1">
      <alignment horizontal="center" vertical="center"/>
      <protection/>
    </xf>
    <xf numFmtId="0" fontId="20" fillId="2" borderId="22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/>
    </xf>
    <xf numFmtId="0" fontId="0" fillId="2" borderId="47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3" fontId="0" fillId="0" borderId="20" xfId="0" applyNumberFormat="1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wrapText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53" fillId="0" borderId="9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4" fillId="2" borderId="14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2" borderId="22" xfId="0" applyFont="1" applyFill="1" applyBorder="1" applyAlignment="1">
      <alignment horizontal="center" vertical="center" wrapText="1"/>
    </xf>
    <xf numFmtId="3" fontId="4" fillId="2" borderId="63" xfId="0" applyNumberFormat="1" applyFont="1" applyFill="1" applyBorder="1" applyAlignment="1">
      <alignment horizontal="center"/>
    </xf>
    <xf numFmtId="3" fontId="4" fillId="2" borderId="46" xfId="0" applyNumberFormat="1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35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17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left"/>
      <protection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 horizontal="left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20" fillId="2" borderId="47" xfId="0" applyFont="1" applyFill="1" applyBorder="1" applyAlignment="1" applyProtection="1">
      <alignment horizontal="center" vertical="center"/>
      <protection/>
    </xf>
    <xf numFmtId="0" fontId="20" fillId="2" borderId="40" xfId="0" applyFont="1" applyFill="1" applyBorder="1" applyAlignment="1" applyProtection="1">
      <alignment horizontal="center" vertical="center"/>
      <protection/>
    </xf>
    <xf numFmtId="0" fontId="4" fillId="2" borderId="47" xfId="0" applyFont="1" applyFill="1" applyBorder="1" applyAlignment="1" applyProtection="1">
      <alignment horizontal="left" vertical="center" wrapText="1"/>
      <protection locked="0"/>
    </xf>
    <xf numFmtId="0" fontId="4" fillId="2" borderId="54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21" fillId="2" borderId="3" xfId="0" applyFont="1" applyFill="1" applyBorder="1" applyAlignment="1">
      <alignment horizontal="center" vertical="center" wrapText="1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4" fillId="2" borderId="15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0" fillId="2" borderId="5" xfId="0" applyFill="1" applyBorder="1" applyAlignment="1" applyProtection="1">
      <alignment horizontal="right"/>
      <protection/>
    </xf>
    <xf numFmtId="0" fontId="0" fillId="2" borderId="6" xfId="0" applyFill="1" applyBorder="1" applyAlignment="1">
      <alignment horizontal="center" wrapText="1"/>
    </xf>
    <xf numFmtId="0" fontId="4" fillId="2" borderId="26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/>
    </xf>
    <xf numFmtId="0" fontId="0" fillId="2" borderId="17" xfId="0" applyFill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right"/>
      <protection/>
    </xf>
    <xf numFmtId="0" fontId="4" fillId="2" borderId="22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4" fillId="2" borderId="30" xfId="0" applyFont="1" applyFill="1" applyBorder="1" applyAlignment="1" applyProtection="1">
      <alignment horizontal="left"/>
      <protection/>
    </xf>
    <xf numFmtId="0" fontId="4" fillId="2" borderId="46" xfId="0" applyFont="1" applyFill="1" applyBorder="1" applyAlignment="1" applyProtection="1">
      <alignment horizontal="left"/>
      <protection/>
    </xf>
    <xf numFmtId="0" fontId="0" fillId="2" borderId="48" xfId="0" applyFill="1" applyBorder="1" applyAlignment="1" applyProtection="1">
      <alignment horizontal="center" vertical="center"/>
      <protection/>
    </xf>
    <xf numFmtId="0" fontId="0" fillId="2" borderId="57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58" xfId="0" applyFill="1" applyBorder="1" applyAlignment="1" applyProtection="1">
      <alignment horizontal="center" vertical="center"/>
      <protection/>
    </xf>
    <xf numFmtId="0" fontId="0" fillId="2" borderId="59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/>
      <protection/>
    </xf>
    <xf numFmtId="0" fontId="0" fillId="2" borderId="46" xfId="0" applyFill="1" applyBorder="1" applyAlignment="1" applyProtection="1">
      <alignment horizontal="center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62" xfId="0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/>
      <protection/>
    </xf>
    <xf numFmtId="0" fontId="4" fillId="2" borderId="46" xfId="0" applyFont="1" applyFill="1" applyBorder="1" applyAlignment="1" applyProtection="1">
      <alignment/>
      <protection/>
    </xf>
    <xf numFmtId="0" fontId="0" fillId="2" borderId="30" xfId="0" applyFont="1" applyFill="1" applyBorder="1" applyAlignment="1" applyProtection="1">
      <alignment horizontal="left"/>
      <protection/>
    </xf>
    <xf numFmtId="0" fontId="0" fillId="2" borderId="46" xfId="0" applyFont="1" applyFill="1" applyBorder="1" applyAlignment="1" applyProtection="1">
      <alignment horizontal="left"/>
      <protection/>
    </xf>
    <xf numFmtId="0" fontId="20" fillId="2" borderId="30" xfId="0" applyFont="1" applyFill="1" applyBorder="1" applyAlignment="1" applyProtection="1">
      <alignment horizontal="left"/>
      <protection/>
    </xf>
    <xf numFmtId="0" fontId="20" fillId="2" borderId="46" xfId="0" applyFont="1" applyFill="1" applyBorder="1" applyAlignment="1" applyProtection="1">
      <alignment horizontal="left"/>
      <protection/>
    </xf>
    <xf numFmtId="0" fontId="4" fillId="2" borderId="15" xfId="0" applyFont="1" applyFill="1" applyBorder="1" applyAlignment="1" applyProtection="1">
      <alignment horizontal="right"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 horizontal="left"/>
      <protection/>
    </xf>
    <xf numFmtId="0" fontId="0" fillId="2" borderId="32" xfId="0" applyFont="1" applyFill="1" applyBorder="1" applyAlignment="1" applyProtection="1">
      <alignment horizontal="left"/>
      <protection/>
    </xf>
    <xf numFmtId="0" fontId="0" fillId="2" borderId="26" xfId="0" applyFont="1" applyFill="1" applyBorder="1" applyAlignment="1" applyProtection="1">
      <alignment horizontal="left"/>
      <protection/>
    </xf>
    <xf numFmtId="0" fontId="0" fillId="2" borderId="7" xfId="0" applyFont="1" applyFill="1" applyBorder="1" applyAlignment="1" applyProtection="1">
      <alignment horizontal="left"/>
      <protection/>
    </xf>
    <xf numFmtId="0" fontId="0" fillId="2" borderId="15" xfId="0" applyFont="1" applyFill="1" applyBorder="1" applyAlignment="1" applyProtection="1">
      <alignment horizontal="left"/>
      <protection/>
    </xf>
    <xf numFmtId="0" fontId="0" fillId="2" borderId="50" xfId="0" applyFont="1" applyFill="1" applyBorder="1" applyAlignment="1" applyProtection="1">
      <alignment horizontal="left"/>
      <protection/>
    </xf>
    <xf numFmtId="0" fontId="0" fillId="2" borderId="21" xfId="0" applyFont="1" applyFill="1" applyBorder="1" applyAlignment="1" applyProtection="1">
      <alignment horizontal="left"/>
      <protection/>
    </xf>
    <xf numFmtId="0" fontId="0" fillId="2" borderId="42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2" borderId="43" xfId="0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0" xfId="0" applyFont="1" applyFill="1" applyBorder="1" applyAlignment="1" applyProtection="1">
      <alignment horizontal="right"/>
      <protection/>
    </xf>
    <xf numFmtId="0" fontId="0" fillId="2" borderId="46" xfId="0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 horizontal="left"/>
    </xf>
    <xf numFmtId="0" fontId="4" fillId="2" borderId="34" xfId="0" applyFont="1" applyFill="1" applyBorder="1" applyAlignment="1" applyProtection="1">
      <alignment horizontal="right"/>
      <protection/>
    </xf>
    <xf numFmtId="0" fontId="4" fillId="2" borderId="63" xfId="0" applyFont="1" applyFill="1" applyBorder="1" applyAlignment="1" applyProtection="1">
      <alignment horizontal="right"/>
      <protection/>
    </xf>
    <xf numFmtId="0" fontId="0" fillId="2" borderId="34" xfId="0" applyFill="1" applyBorder="1" applyAlignment="1" applyProtection="1">
      <alignment horizontal="left"/>
      <protection/>
    </xf>
    <xf numFmtId="0" fontId="0" fillId="2" borderId="36" xfId="0" applyFill="1" applyBorder="1" applyAlignment="1" applyProtection="1">
      <alignment horizontal="left"/>
      <protection/>
    </xf>
    <xf numFmtId="0" fontId="0" fillId="2" borderId="18" xfId="0" applyFill="1" applyBorder="1" applyAlignment="1">
      <alignment horizontal="center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2" borderId="52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left"/>
      <protection/>
    </xf>
    <xf numFmtId="0" fontId="4" fillId="2" borderId="22" xfId="0" applyFont="1" applyFill="1" applyBorder="1" applyAlignment="1" applyProtection="1">
      <alignment horizontal="left"/>
      <protection/>
    </xf>
    <xf numFmtId="0" fontId="4" fillId="2" borderId="51" xfId="0" applyFont="1" applyFill="1" applyBorder="1" applyAlignment="1" applyProtection="1">
      <alignment horizontal="right"/>
      <protection/>
    </xf>
    <xf numFmtId="0" fontId="4" fillId="2" borderId="37" xfId="0" applyFont="1" applyFill="1" applyBorder="1" applyAlignment="1" applyProtection="1">
      <alignment horizontal="right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61" xfId="0" applyFont="1" applyFill="1" applyBorder="1" applyAlignment="1" applyProtection="1">
      <alignment horizontal="center" vertical="center" wrapText="1"/>
      <protection/>
    </xf>
    <xf numFmtId="0" fontId="4" fillId="2" borderId="65" xfId="0" applyFont="1" applyFill="1" applyBorder="1" applyAlignment="1" applyProtection="1">
      <alignment horizontal="center" vertical="center" wrapText="1"/>
      <protection/>
    </xf>
    <xf numFmtId="0" fontId="4" fillId="2" borderId="47" xfId="0" applyFont="1" applyFill="1" applyBorder="1" applyAlignment="1" applyProtection="1">
      <alignment horizontal="right"/>
      <protection/>
    </xf>
    <xf numFmtId="0" fontId="4" fillId="2" borderId="54" xfId="0" applyFont="1" applyFill="1" applyBorder="1" applyAlignment="1" applyProtection="1">
      <alignment horizontal="right"/>
      <protection/>
    </xf>
    <xf numFmtId="0" fontId="4" fillId="2" borderId="55" xfId="0" applyFont="1" applyFill="1" applyBorder="1" applyAlignment="1" applyProtection="1">
      <alignment horizontal="right"/>
      <protection/>
    </xf>
    <xf numFmtId="0" fontId="4" fillId="2" borderId="48" xfId="0" applyFont="1" applyFill="1" applyBorder="1" applyAlignment="1" applyProtection="1">
      <alignment horizontal="center" vertical="center" wrapText="1"/>
      <protection/>
    </xf>
    <xf numFmtId="0" fontId="4" fillId="2" borderId="56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44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 applyProtection="1">
      <alignment horizontal="righ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4" fillId="2" borderId="50" xfId="0" applyFont="1" applyFill="1" applyBorder="1" applyAlignment="1" applyProtection="1">
      <alignment horizontal="right"/>
      <protection/>
    </xf>
    <xf numFmtId="0" fontId="4" fillId="2" borderId="23" xfId="0" applyFont="1" applyFill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 horizontal="right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/>
    </xf>
    <xf numFmtId="0" fontId="0" fillId="2" borderId="52" xfId="0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47" xfId="0" applyFill="1" applyBorder="1" applyAlignment="1" applyProtection="1">
      <alignment horizontal="left"/>
      <protection/>
    </xf>
    <xf numFmtId="0" fontId="0" fillId="2" borderId="40" xfId="0" applyFill="1" applyBorder="1" applyAlignment="1" applyProtection="1">
      <alignment horizontal="left"/>
      <protection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0" fillId="8" borderId="20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 applyProtection="1">
      <alignment horizontal="left"/>
      <protection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201" fontId="0" fillId="0" borderId="0" xfId="0" applyNumberFormat="1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21" fillId="2" borderId="3" xfId="0" applyFont="1" applyFill="1" applyBorder="1" applyAlignment="1">
      <alignment horizontal="left"/>
    </xf>
    <xf numFmtId="2" fontId="21" fillId="4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7.emf" /><Relationship Id="rId3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0.emf" /><Relationship Id="rId3" Type="http://schemas.openxmlformats.org/officeDocument/2006/relationships/image" Target="../media/image1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5.emf" /><Relationship Id="rId7" Type="http://schemas.openxmlformats.org/officeDocument/2006/relationships/image" Target="../media/image13.emf" /><Relationship Id="rId8" Type="http://schemas.openxmlformats.org/officeDocument/2006/relationships/image" Target="../media/image9.emf" /><Relationship Id="rId9" Type="http://schemas.openxmlformats.org/officeDocument/2006/relationships/image" Target="../media/image31.emf" /><Relationship Id="rId10" Type="http://schemas.openxmlformats.org/officeDocument/2006/relationships/image" Target="../media/image18.emf" /><Relationship Id="rId11" Type="http://schemas.openxmlformats.org/officeDocument/2006/relationships/image" Target="../media/image8.emf" /><Relationship Id="rId12" Type="http://schemas.openxmlformats.org/officeDocument/2006/relationships/image" Target="../media/image3.emf" /><Relationship Id="rId13" Type="http://schemas.openxmlformats.org/officeDocument/2006/relationships/image" Target="../media/image32.emf" /><Relationship Id="rId1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0.emf" /><Relationship Id="rId3" Type="http://schemas.openxmlformats.org/officeDocument/2006/relationships/image" Target="../media/image27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23.emf" /><Relationship Id="rId7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228600</xdr:colOff>
      <xdr:row>27</xdr:row>
      <xdr:rowOff>47625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19050" y="0"/>
          <a:ext cx="7591425" cy="5219700"/>
        </a:xfrm>
        <a:prstGeom prst="rect">
          <a:avLst/>
        </a:prstGeom>
        <a:gradFill rotWithShape="1">
          <a:gsLst>
            <a:gs pos="0">
              <a:srgbClr val="FFFF99"/>
            </a:gs>
            <a:gs pos="50000">
              <a:srgbClr val="FFFFCC"/>
            </a:gs>
            <a:gs pos="100000">
              <a:srgbClr val="FFFF99"/>
            </a:gs>
          </a:gsLst>
          <a:lin ang="0" scaled="1"/>
        </a:gra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EPÚBLICA DE 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OLIVIA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H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ACIENDA
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UBLICA Y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REVISION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OCIAL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ICEMINISTERIO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INANCIAMIENTO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XTERNO
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IRECCIÓN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ENERAL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-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U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NIDAD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DEL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NIP
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ICEMINISTERIO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 -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IRECCIÓN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ENERAL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LANIFICACIÓN,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OORDINACIÓN DE LA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EFORMA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ECTOR 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</a:p>
      </xdr:txBody>
    </xdr:sp>
    <xdr:clientData/>
  </xdr:twoCellAnchor>
  <xdr:twoCellAnchor>
    <xdr:from>
      <xdr:col>0</xdr:col>
      <xdr:colOff>171450</xdr:colOff>
      <xdr:row>7</xdr:row>
      <xdr:rowOff>133350</xdr:rowOff>
    </xdr:from>
    <xdr:to>
      <xdr:col>0</xdr:col>
      <xdr:colOff>2705100</xdr:colOff>
      <xdr:row>15</xdr:row>
      <xdr:rowOff>28575</xdr:rowOff>
    </xdr:to>
    <xdr:grpSp>
      <xdr:nvGrpSpPr>
        <xdr:cNvPr id="2" name="Group 83"/>
        <xdr:cNvGrpSpPr>
          <a:grpSpLocks/>
        </xdr:cNvGrpSpPr>
      </xdr:nvGrpSpPr>
      <xdr:grpSpPr>
        <a:xfrm>
          <a:off x="171450" y="1476375"/>
          <a:ext cx="2533650" cy="1438275"/>
          <a:chOff x="18" y="155"/>
          <a:chExt cx="266" cy="151"/>
        </a:xfrm>
        <a:solidFill>
          <a:srgbClr val="FFFFFF"/>
        </a:solidFill>
      </xdr:grpSpPr>
    </xdr:grpSp>
    <xdr:clientData/>
  </xdr:twoCellAnchor>
  <xdr:twoCellAnchor>
    <xdr:from>
      <xdr:col>0</xdr:col>
      <xdr:colOff>76200</xdr:colOff>
      <xdr:row>0</xdr:row>
      <xdr:rowOff>66675</xdr:rowOff>
    </xdr:from>
    <xdr:to>
      <xdr:col>0</xdr:col>
      <xdr:colOff>876300</xdr:colOff>
      <xdr:row>3</xdr:row>
      <xdr:rowOff>171450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16</xdr:row>
      <xdr:rowOff>66675</xdr:rowOff>
    </xdr:from>
    <xdr:to>
      <xdr:col>0</xdr:col>
      <xdr:colOff>2390775</xdr:colOff>
      <xdr:row>19</xdr:row>
      <xdr:rowOff>66675</xdr:rowOff>
    </xdr:to>
    <xdr:grpSp>
      <xdr:nvGrpSpPr>
        <xdr:cNvPr id="12" name="Group 79"/>
        <xdr:cNvGrpSpPr>
          <a:grpSpLocks/>
        </xdr:cNvGrpSpPr>
      </xdr:nvGrpSpPr>
      <xdr:grpSpPr>
        <a:xfrm>
          <a:off x="190500" y="3143250"/>
          <a:ext cx="2209800" cy="571500"/>
          <a:chOff x="20" y="330"/>
          <a:chExt cx="231" cy="60"/>
        </a:xfrm>
        <a:solidFill>
          <a:srgbClr val="FFFFFF"/>
        </a:solidFill>
      </xdr:grpSpPr>
      <xdr:pic>
        <xdr:nvPicPr>
          <xdr:cNvPr id="15" name="CommandButton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20" y="330"/>
            <a:ext cx="58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CommandButton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78" y="330"/>
            <a:ext cx="58" cy="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3181350</xdr:colOff>
      <xdr:row>8</xdr:row>
      <xdr:rowOff>57150</xdr:rowOff>
    </xdr:from>
    <xdr:to>
      <xdr:col>0</xdr:col>
      <xdr:colOff>7229475</xdr:colOff>
      <xdr:row>16</xdr:row>
      <xdr:rowOff>123825</xdr:rowOff>
    </xdr:to>
    <xdr:sp>
      <xdr:nvSpPr>
        <xdr:cNvPr id="17" name="TextBox 77"/>
        <xdr:cNvSpPr txBox="1">
          <a:spLocks noChangeArrowheads="1"/>
        </xdr:cNvSpPr>
      </xdr:nvSpPr>
      <xdr:spPr>
        <a:xfrm>
          <a:off x="3181350" y="1600200"/>
          <a:ext cx="40481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ETODOLOGÍA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REPARACIÓN 
Y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VALUACIÓN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ROYECTOS 
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QUIPAMIENTO EN EL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RIMER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N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IVEL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TENCIÓN 
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6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7</xdr:row>
      <xdr:rowOff>104775</xdr:rowOff>
    </xdr:to>
    <xdr:sp>
      <xdr:nvSpPr>
        <xdr:cNvPr id="18" name="Rectangle 80"/>
        <xdr:cNvSpPr>
          <a:spLocks/>
        </xdr:cNvSpPr>
      </xdr:nvSpPr>
      <xdr:spPr>
        <a:xfrm>
          <a:off x="38100" y="28575"/>
          <a:ext cx="7534275" cy="1419225"/>
        </a:xfrm>
        <a:prstGeom prst="rect">
          <a:avLst/>
        </a:prstGeom>
        <a:noFill/>
        <a:ln w="57150" cmpd="thickThin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4352925</xdr:colOff>
      <xdr:row>17</xdr:row>
      <xdr:rowOff>85725</xdr:rowOff>
    </xdr:from>
    <xdr:ext cx="1676400" cy="200025"/>
    <xdr:sp>
      <xdr:nvSpPr>
        <xdr:cNvPr id="19" name="TextBox 82"/>
        <xdr:cNvSpPr txBox="1">
          <a:spLocks noChangeArrowheads="1"/>
        </xdr:cNvSpPr>
      </xdr:nvSpPr>
      <xdr:spPr>
        <a:xfrm>
          <a:off x="4352925" y="3352800"/>
          <a:ext cx="16764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Versión 2.2 - Diciembre 2007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8</xdr:row>
      <xdr:rowOff>0</xdr:rowOff>
    </xdr:from>
    <xdr:to>
      <xdr:col>7</xdr:col>
      <xdr:colOff>38100</xdr:colOff>
      <xdr:row>10</xdr:row>
      <xdr:rowOff>47625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90675"/>
          <a:ext cx="407670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11</xdr:col>
      <xdr:colOff>0</xdr:colOff>
      <xdr:row>28</xdr:row>
      <xdr:rowOff>76200</xdr:rowOff>
    </xdr:from>
    <xdr:ext cx="76200" cy="200025"/>
    <xdr:sp>
      <xdr:nvSpPr>
        <xdr:cNvPr id="2" name="TextBox 35"/>
        <xdr:cNvSpPr txBox="1">
          <a:spLocks noChangeArrowheads="1"/>
        </xdr:cNvSpPr>
      </xdr:nvSpPr>
      <xdr:spPr>
        <a:xfrm>
          <a:off x="6353175" y="511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30</xdr:row>
      <xdr:rowOff>9525</xdr:rowOff>
    </xdr:from>
    <xdr:ext cx="1743075" cy="390525"/>
    <xdr:sp fLocksText="0">
      <xdr:nvSpPr>
        <xdr:cNvPr id="3" name="TextBox 119"/>
        <xdr:cNvSpPr txBox="1">
          <a:spLocks noChangeArrowheads="1"/>
        </xdr:cNvSpPr>
      </xdr:nvSpPr>
      <xdr:spPr>
        <a:xfrm>
          <a:off x="200025" y="5438775"/>
          <a:ext cx="1743075" cy="390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30</xdr:row>
      <xdr:rowOff>19050</xdr:rowOff>
    </xdr:from>
    <xdr:ext cx="2019300" cy="390525"/>
    <xdr:sp fLocksText="0">
      <xdr:nvSpPr>
        <xdr:cNvPr id="4" name="TextBox 120"/>
        <xdr:cNvSpPr txBox="1">
          <a:spLocks noChangeArrowheads="1"/>
        </xdr:cNvSpPr>
      </xdr:nvSpPr>
      <xdr:spPr>
        <a:xfrm>
          <a:off x="3200400" y="5448300"/>
          <a:ext cx="2019300" cy="390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36</xdr:row>
      <xdr:rowOff>0</xdr:rowOff>
    </xdr:from>
    <xdr:ext cx="1743075" cy="390525"/>
    <xdr:sp fLocksText="0">
      <xdr:nvSpPr>
        <xdr:cNvPr id="5" name="TextBox 142"/>
        <xdr:cNvSpPr txBox="1">
          <a:spLocks noChangeArrowheads="1"/>
        </xdr:cNvSpPr>
      </xdr:nvSpPr>
      <xdr:spPr>
        <a:xfrm>
          <a:off x="209550" y="6467475"/>
          <a:ext cx="1743075" cy="390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428625</xdr:colOff>
      <xdr:row>36</xdr:row>
      <xdr:rowOff>0</xdr:rowOff>
    </xdr:from>
    <xdr:ext cx="2133600" cy="390525"/>
    <xdr:sp fLocksText="0">
      <xdr:nvSpPr>
        <xdr:cNvPr id="6" name="TextBox 143"/>
        <xdr:cNvSpPr txBox="1">
          <a:spLocks noChangeArrowheads="1"/>
        </xdr:cNvSpPr>
      </xdr:nvSpPr>
      <xdr:spPr>
        <a:xfrm>
          <a:off x="3095625" y="6467475"/>
          <a:ext cx="2133600" cy="390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0</xdr:colOff>
      <xdr:row>142</xdr:row>
      <xdr:rowOff>590550</xdr:rowOff>
    </xdr:from>
    <xdr:to>
      <xdr:col>11</xdr:col>
      <xdr:colOff>9525</xdr:colOff>
      <xdr:row>144</xdr:row>
      <xdr:rowOff>0</xdr:rowOff>
    </xdr:to>
    <xdr:pic>
      <xdr:nvPicPr>
        <xdr:cNvPr id="7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25412700"/>
          <a:ext cx="1038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143</xdr:row>
      <xdr:rowOff>142875</xdr:rowOff>
    </xdr:from>
    <xdr:to>
      <xdr:col>11</xdr:col>
      <xdr:colOff>9525</xdr:colOff>
      <xdr:row>145</xdr:row>
      <xdr:rowOff>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25574625"/>
          <a:ext cx="1038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144</xdr:row>
      <xdr:rowOff>142875</xdr:rowOff>
    </xdr:from>
    <xdr:to>
      <xdr:col>11</xdr:col>
      <xdr:colOff>9525</xdr:colOff>
      <xdr:row>145</xdr:row>
      <xdr:rowOff>161925</xdr:rowOff>
    </xdr:to>
    <xdr:pic>
      <xdr:nvPicPr>
        <xdr:cNvPr id="9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25736550"/>
          <a:ext cx="1038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268</xdr:row>
      <xdr:rowOff>180975</xdr:rowOff>
    </xdr:from>
    <xdr:ext cx="6115050" cy="657225"/>
    <xdr:sp fLocksText="0">
      <xdr:nvSpPr>
        <xdr:cNvPr id="10" name="TextBox 183"/>
        <xdr:cNvSpPr txBox="1">
          <a:spLocks noChangeArrowheads="1"/>
        </xdr:cNvSpPr>
      </xdr:nvSpPr>
      <xdr:spPr>
        <a:xfrm>
          <a:off x="200025" y="47548800"/>
          <a:ext cx="6115050" cy="6572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274</xdr:row>
      <xdr:rowOff>180975</xdr:rowOff>
    </xdr:from>
    <xdr:ext cx="6115050" cy="647700"/>
    <xdr:sp fLocksText="0">
      <xdr:nvSpPr>
        <xdr:cNvPr id="11" name="TextBox 185"/>
        <xdr:cNvSpPr txBox="1">
          <a:spLocks noChangeArrowheads="1"/>
        </xdr:cNvSpPr>
      </xdr:nvSpPr>
      <xdr:spPr>
        <a:xfrm>
          <a:off x="200025" y="48548925"/>
          <a:ext cx="6115050" cy="647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280</xdr:row>
      <xdr:rowOff>180975</xdr:rowOff>
    </xdr:from>
    <xdr:ext cx="6115050" cy="647700"/>
    <xdr:sp fLocksText="0">
      <xdr:nvSpPr>
        <xdr:cNvPr id="12" name="TextBox 186"/>
        <xdr:cNvSpPr txBox="1">
          <a:spLocks noChangeArrowheads="1"/>
        </xdr:cNvSpPr>
      </xdr:nvSpPr>
      <xdr:spPr>
        <a:xfrm>
          <a:off x="200025" y="49549050"/>
          <a:ext cx="6115050" cy="647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13</xdr:col>
      <xdr:colOff>381000</xdr:colOff>
      <xdr:row>3</xdr:row>
      <xdr:rowOff>209550</xdr:rowOff>
    </xdr:to>
    <xdr:sp>
      <xdr:nvSpPr>
        <xdr:cNvPr id="13" name="TextBox 138"/>
        <xdr:cNvSpPr txBox="1">
          <a:spLocks noChangeArrowheads="1"/>
        </xdr:cNvSpPr>
      </xdr:nvSpPr>
      <xdr:spPr>
        <a:xfrm>
          <a:off x="0" y="0"/>
          <a:ext cx="7762875" cy="8953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0</xdr:row>
      <xdr:rowOff>0</xdr:rowOff>
    </xdr:from>
    <xdr:to>
      <xdr:col>6</xdr:col>
      <xdr:colOff>276225</xdr:colOff>
      <xdr:row>1</xdr:row>
      <xdr:rowOff>38100</xdr:rowOff>
    </xdr:to>
    <xdr:sp>
      <xdr:nvSpPr>
        <xdr:cNvPr id="14" name="TextBox 139"/>
        <xdr:cNvSpPr txBox="1">
          <a:spLocks noChangeArrowheads="1"/>
        </xdr:cNvSpPr>
      </xdr:nvSpPr>
      <xdr:spPr>
        <a:xfrm>
          <a:off x="228600" y="0"/>
          <a:ext cx="3743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REPARACIÓN DEL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</a:t>
          </a:r>
        </a:p>
      </xdr:txBody>
    </xdr:sp>
    <xdr:clientData fPrintsWithSheet="0"/>
  </xdr:twoCellAnchor>
  <xdr:twoCellAnchor>
    <xdr:from>
      <xdr:col>7</xdr:col>
      <xdr:colOff>238125</xdr:colOff>
      <xdr:row>0</xdr:row>
      <xdr:rowOff>76200</xdr:rowOff>
    </xdr:from>
    <xdr:to>
      <xdr:col>12</xdr:col>
      <xdr:colOff>228600</xdr:colOff>
      <xdr:row>1</xdr:row>
      <xdr:rowOff>76200</xdr:rowOff>
    </xdr:to>
    <xdr:sp>
      <xdr:nvSpPr>
        <xdr:cNvPr id="15" name="TextBox 144"/>
        <xdr:cNvSpPr txBox="1">
          <a:spLocks noChangeArrowheads="1"/>
        </xdr:cNvSpPr>
      </xdr:nvSpPr>
      <xdr:spPr>
        <a:xfrm>
          <a:off x="4467225" y="76200"/>
          <a:ext cx="2628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QUIPAMIENTO EN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 fPrintsWithSheet="0"/>
  </xdr:twoCellAnchor>
  <xdr:twoCellAnchor editAs="absolute">
    <xdr:from>
      <xdr:col>1</xdr:col>
      <xdr:colOff>104775</xdr:colOff>
      <xdr:row>2</xdr:row>
      <xdr:rowOff>123825</xdr:rowOff>
    </xdr:from>
    <xdr:to>
      <xdr:col>11</xdr:col>
      <xdr:colOff>142875</xdr:colOff>
      <xdr:row>3</xdr:row>
      <xdr:rowOff>114300</xdr:rowOff>
    </xdr:to>
    <xdr:pic>
      <xdr:nvPicPr>
        <xdr:cNvPr id="16" name="PreparaSelec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47650" y="581025"/>
          <a:ext cx="6248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228600</xdr:colOff>
      <xdr:row>1</xdr:row>
      <xdr:rowOff>9525</xdr:rowOff>
    </xdr:from>
    <xdr:to>
      <xdr:col>12</xdr:col>
      <xdr:colOff>257175</xdr:colOff>
      <xdr:row>2</xdr:row>
      <xdr:rowOff>142875</xdr:rowOff>
    </xdr:to>
    <xdr:pic>
      <xdr:nvPicPr>
        <xdr:cNvPr id="17" name="CommandButton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581775" y="2381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</xdr:col>
      <xdr:colOff>9525</xdr:colOff>
      <xdr:row>329</xdr:row>
      <xdr:rowOff>28575</xdr:rowOff>
    </xdr:from>
    <xdr:ext cx="6248400" cy="1419225"/>
    <xdr:sp fLocksText="0">
      <xdr:nvSpPr>
        <xdr:cNvPr id="18" name="TextBox 237"/>
        <xdr:cNvSpPr txBox="1">
          <a:spLocks noChangeArrowheads="1"/>
        </xdr:cNvSpPr>
      </xdr:nvSpPr>
      <xdr:spPr>
        <a:xfrm>
          <a:off x="152400" y="58302525"/>
          <a:ext cx="6248400" cy="14192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53</xdr:row>
      <xdr:rowOff>180975</xdr:rowOff>
    </xdr:from>
    <xdr:ext cx="5248275" cy="533400"/>
    <xdr:sp fLocksText="0">
      <xdr:nvSpPr>
        <xdr:cNvPr id="19" name="TextBox 243"/>
        <xdr:cNvSpPr txBox="1">
          <a:spLocks noChangeArrowheads="1"/>
        </xdr:cNvSpPr>
      </xdr:nvSpPr>
      <xdr:spPr>
        <a:xfrm>
          <a:off x="190500" y="9467850"/>
          <a:ext cx="5248275" cy="533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18</xdr:row>
      <xdr:rowOff>161925</xdr:rowOff>
    </xdr:from>
    <xdr:ext cx="3686175" cy="371475"/>
    <xdr:sp fLocksText="0">
      <xdr:nvSpPr>
        <xdr:cNvPr id="20" name="TextBox 247"/>
        <xdr:cNvSpPr txBox="1">
          <a:spLocks noChangeArrowheads="1"/>
        </xdr:cNvSpPr>
      </xdr:nvSpPr>
      <xdr:spPr>
        <a:xfrm>
          <a:off x="180975" y="3524250"/>
          <a:ext cx="36861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9525</xdr:colOff>
      <xdr:row>142</xdr:row>
      <xdr:rowOff>600075</xdr:rowOff>
    </xdr:from>
    <xdr:to>
      <xdr:col>13</xdr:col>
      <xdr:colOff>533400</xdr:colOff>
      <xdr:row>144</xdr:row>
      <xdr:rowOff>9525</xdr:rowOff>
    </xdr:to>
    <xdr:pic>
      <xdr:nvPicPr>
        <xdr:cNvPr id="21" name="Combo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91400" y="2542222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143</xdr:row>
      <xdr:rowOff>152400</xdr:rowOff>
    </xdr:from>
    <xdr:to>
      <xdr:col>13</xdr:col>
      <xdr:colOff>533400</xdr:colOff>
      <xdr:row>145</xdr:row>
      <xdr:rowOff>19050</xdr:rowOff>
    </xdr:to>
    <xdr:pic>
      <xdr:nvPicPr>
        <xdr:cNvPr id="22" name="Combo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91400" y="255841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144</xdr:row>
      <xdr:rowOff>152400</xdr:rowOff>
    </xdr:from>
    <xdr:to>
      <xdr:col>13</xdr:col>
      <xdr:colOff>533400</xdr:colOff>
      <xdr:row>146</xdr:row>
      <xdr:rowOff>0</xdr:rowOff>
    </xdr:to>
    <xdr:pic>
      <xdr:nvPicPr>
        <xdr:cNvPr id="23" name="ComboBo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91400" y="257460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43</xdr:row>
      <xdr:rowOff>142875</xdr:rowOff>
    </xdr:from>
    <xdr:to>
      <xdr:col>4</xdr:col>
      <xdr:colOff>247650</xdr:colOff>
      <xdr:row>45</xdr:row>
      <xdr:rowOff>47625</xdr:rowOff>
    </xdr:to>
    <xdr:pic>
      <xdr:nvPicPr>
        <xdr:cNvPr id="24" name="CheckBox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57425" y="7810500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104775</xdr:colOff>
      <xdr:row>45</xdr:row>
      <xdr:rowOff>28575</xdr:rowOff>
    </xdr:from>
    <xdr:to>
      <xdr:col>4</xdr:col>
      <xdr:colOff>361950</xdr:colOff>
      <xdr:row>46</xdr:row>
      <xdr:rowOff>85725</xdr:rowOff>
    </xdr:to>
    <xdr:pic>
      <xdr:nvPicPr>
        <xdr:cNvPr id="25" name="CheckBox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257425" y="802005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28575</xdr:colOff>
      <xdr:row>23</xdr:row>
      <xdr:rowOff>28575</xdr:rowOff>
    </xdr:from>
    <xdr:to>
      <xdr:col>7</xdr:col>
      <xdr:colOff>561975</xdr:colOff>
      <xdr:row>27</xdr:row>
      <xdr:rowOff>28575</xdr:rowOff>
    </xdr:to>
    <xdr:sp>
      <xdr:nvSpPr>
        <xdr:cNvPr id="26" name="Rectangle 307"/>
        <xdr:cNvSpPr>
          <a:spLocks/>
        </xdr:cNvSpPr>
      </xdr:nvSpPr>
      <xdr:spPr>
        <a:xfrm>
          <a:off x="3209925" y="4257675"/>
          <a:ext cx="15811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333375</xdr:colOff>
      <xdr:row>24</xdr:row>
      <xdr:rowOff>66675</xdr:rowOff>
    </xdr:from>
    <xdr:to>
      <xdr:col>7</xdr:col>
      <xdr:colOff>266700</xdr:colOff>
      <xdr:row>25</xdr:row>
      <xdr:rowOff>133350</xdr:rowOff>
    </xdr:to>
    <xdr:pic>
      <xdr:nvPicPr>
        <xdr:cNvPr id="27" name="ComboBox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14725" y="4457700"/>
          <a:ext cx="98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44</xdr:row>
      <xdr:rowOff>85725</xdr:rowOff>
    </xdr:from>
    <xdr:to>
      <xdr:col>2</xdr:col>
      <xdr:colOff>400050</xdr:colOff>
      <xdr:row>45</xdr:row>
      <xdr:rowOff>152400</xdr:rowOff>
    </xdr:to>
    <xdr:pic>
      <xdr:nvPicPr>
        <xdr:cNvPr id="28" name="ComboBox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5275" y="7915275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23</xdr:row>
      <xdr:rowOff>28575</xdr:rowOff>
    </xdr:from>
    <xdr:to>
      <xdr:col>3</xdr:col>
      <xdr:colOff>514350</xdr:colOff>
      <xdr:row>27</xdr:row>
      <xdr:rowOff>28575</xdr:rowOff>
    </xdr:to>
    <xdr:sp>
      <xdr:nvSpPr>
        <xdr:cNvPr id="29" name="Rectangle 317"/>
        <xdr:cNvSpPr>
          <a:spLocks/>
        </xdr:cNvSpPr>
      </xdr:nvSpPr>
      <xdr:spPr>
        <a:xfrm>
          <a:off x="171450" y="4257675"/>
          <a:ext cx="24955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24</xdr:row>
      <xdr:rowOff>66675</xdr:rowOff>
    </xdr:from>
    <xdr:to>
      <xdr:col>2</xdr:col>
      <xdr:colOff>333375</xdr:colOff>
      <xdr:row>25</xdr:row>
      <xdr:rowOff>133350</xdr:rowOff>
    </xdr:to>
    <xdr:pic>
      <xdr:nvPicPr>
        <xdr:cNvPr id="30" name="ComboBox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0" y="4457700"/>
          <a:ext cx="98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10</xdr:row>
      <xdr:rowOff>180975</xdr:rowOff>
    </xdr:from>
    <xdr:ext cx="5962650" cy="647700"/>
    <xdr:sp fLocksText="0">
      <xdr:nvSpPr>
        <xdr:cNvPr id="1" name="TextBox 28"/>
        <xdr:cNvSpPr txBox="1">
          <a:spLocks noChangeArrowheads="1"/>
        </xdr:cNvSpPr>
      </xdr:nvSpPr>
      <xdr:spPr>
        <a:xfrm>
          <a:off x="190500" y="2171700"/>
          <a:ext cx="5962650" cy="647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180975</xdr:rowOff>
    </xdr:from>
    <xdr:ext cx="5962650" cy="638175"/>
    <xdr:sp fLocksText="0">
      <xdr:nvSpPr>
        <xdr:cNvPr id="2" name="TextBox 29"/>
        <xdr:cNvSpPr txBox="1">
          <a:spLocks noChangeArrowheads="1"/>
        </xdr:cNvSpPr>
      </xdr:nvSpPr>
      <xdr:spPr>
        <a:xfrm>
          <a:off x="209550" y="3171825"/>
          <a:ext cx="5962650" cy="638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21</xdr:row>
      <xdr:rowOff>180975</xdr:rowOff>
    </xdr:from>
    <xdr:ext cx="5962650" cy="628650"/>
    <xdr:sp fLocksText="0">
      <xdr:nvSpPr>
        <xdr:cNvPr id="3" name="TextBox 30"/>
        <xdr:cNvSpPr txBox="1">
          <a:spLocks noChangeArrowheads="1"/>
        </xdr:cNvSpPr>
      </xdr:nvSpPr>
      <xdr:spPr>
        <a:xfrm>
          <a:off x="200025" y="4067175"/>
          <a:ext cx="5962650" cy="628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12</xdr:col>
      <xdr:colOff>352425</xdr:colOff>
      <xdr:row>3</xdr:row>
      <xdr:rowOff>209550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114300</xdr:colOff>
      <xdr:row>0</xdr:row>
      <xdr:rowOff>0</xdr:rowOff>
    </xdr:from>
    <xdr:to>
      <xdr:col>6</xdr:col>
      <xdr:colOff>342900</xdr:colOff>
      <xdr:row>1</xdr:row>
      <xdr:rowOff>19050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257175" y="0"/>
          <a:ext cx="327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LTERNATIVAS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DEL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</a:t>
          </a:r>
          <a:r>
            <a:rPr lang="en-US" cap="none" sz="1400" b="0" i="0" u="none" baseline="0">
              <a:solidFill>
                <a:srgbClr val="FF0000"/>
              </a:solidFill>
              <a:latin typeface="Lucida Handwriting"/>
              <a:ea typeface="Lucida Handwriting"/>
              <a:cs typeface="Lucida Handwriting"/>
            </a:rPr>
            <a:t>
</a:t>
          </a:r>
        </a:p>
      </xdr:txBody>
    </xdr:sp>
    <xdr:clientData fPrintsWithSheet="0"/>
  </xdr:twoCellAnchor>
  <xdr:twoCellAnchor>
    <xdr:from>
      <xdr:col>7</xdr:col>
      <xdr:colOff>104775</xdr:colOff>
      <xdr:row>0</xdr:row>
      <xdr:rowOff>76200</xdr:rowOff>
    </xdr:from>
    <xdr:to>
      <xdr:col>11</xdr:col>
      <xdr:colOff>523875</xdr:colOff>
      <xdr:row>1</xdr:row>
      <xdr:rowOff>66675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3905250" y="76200"/>
          <a:ext cx="2857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QUIPAMIENTO EN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 fPrintsWithSheet="0"/>
  </xdr:twoCellAnchor>
  <xdr:twoCellAnchor>
    <xdr:from>
      <xdr:col>11</xdr:col>
      <xdr:colOff>342900</xdr:colOff>
      <xdr:row>1</xdr:row>
      <xdr:rowOff>9525</xdr:rowOff>
    </xdr:from>
    <xdr:to>
      <xdr:col>12</xdr:col>
      <xdr:colOff>276225</xdr:colOff>
      <xdr:row>2</xdr:row>
      <xdr:rowOff>142875</xdr:rowOff>
    </xdr:to>
    <xdr:pic>
      <xdr:nvPicPr>
        <xdr:cNvPr id="7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0</xdr:col>
      <xdr:colOff>0</xdr:colOff>
      <xdr:row>28</xdr:row>
      <xdr:rowOff>133350</xdr:rowOff>
    </xdr:from>
    <xdr:ext cx="7219950" cy="0"/>
    <xdr:sp>
      <xdr:nvSpPr>
        <xdr:cNvPr id="8" name="Line 53"/>
        <xdr:cNvSpPr>
          <a:spLocks/>
        </xdr:cNvSpPr>
      </xdr:nvSpPr>
      <xdr:spPr>
        <a:xfrm>
          <a:off x="0" y="5248275"/>
          <a:ext cx="72199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485775</xdr:colOff>
      <xdr:row>3</xdr:row>
      <xdr:rowOff>209550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7153275" cy="8953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0</xdr:col>
      <xdr:colOff>228600</xdr:colOff>
      <xdr:row>0</xdr:row>
      <xdr:rowOff>0</xdr:rowOff>
    </xdr:from>
    <xdr:to>
      <xdr:col>3</xdr:col>
      <xdr:colOff>781050</xdr:colOff>
      <xdr:row>1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28600" y="0"/>
          <a:ext cx="3267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VALUACIÓN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RIVADA</a:t>
          </a:r>
        </a:p>
      </xdr:txBody>
    </xdr:sp>
    <xdr:clientData fPrintsWithSheet="0"/>
  </xdr:twoCellAnchor>
  <xdr:twoCellAnchor editAs="absolute">
    <xdr:from>
      <xdr:col>4</xdr:col>
      <xdr:colOff>295275</xdr:colOff>
      <xdr:row>0</xdr:row>
      <xdr:rowOff>76200</xdr:rowOff>
    </xdr:from>
    <xdr:to>
      <xdr:col>7</xdr:col>
      <xdr:colOff>676275</xdr:colOff>
      <xdr:row>1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57625" y="76200"/>
          <a:ext cx="2724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QUIPAMIENTO EN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 fPrintsWithSheet="0"/>
  </xdr:twoCellAnchor>
  <xdr:twoCellAnchor editAs="absolute">
    <xdr:from>
      <xdr:col>1</xdr:col>
      <xdr:colOff>0</xdr:colOff>
      <xdr:row>2</xdr:row>
      <xdr:rowOff>133350</xdr:rowOff>
    </xdr:from>
    <xdr:to>
      <xdr:col>7</xdr:col>
      <xdr:colOff>600075</xdr:colOff>
      <xdr:row>3</xdr:row>
      <xdr:rowOff>123825</xdr:rowOff>
    </xdr:to>
    <xdr:pic>
      <xdr:nvPicPr>
        <xdr:cNvPr id="4" name="Combo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590550"/>
          <a:ext cx="62579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676275</xdr:colOff>
      <xdr:row>1</xdr:row>
      <xdr:rowOff>9525</xdr:rowOff>
    </xdr:from>
    <xdr:to>
      <xdr:col>8</xdr:col>
      <xdr:colOff>457200</xdr:colOff>
      <xdr:row>2</xdr:row>
      <xdr:rowOff>142875</xdr:rowOff>
    </xdr:to>
    <xdr:pic>
      <xdr:nvPicPr>
        <xdr:cNvPr id="5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81775" y="2381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11</xdr:row>
      <xdr:rowOff>9525</xdr:rowOff>
    </xdr:from>
    <xdr:to>
      <xdr:col>9</xdr:col>
      <xdr:colOff>485775</xdr:colOff>
      <xdr:row>11</xdr:row>
      <xdr:rowOff>9525</xdr:rowOff>
    </xdr:to>
    <xdr:sp>
      <xdr:nvSpPr>
        <xdr:cNvPr id="6" name="Line 59"/>
        <xdr:cNvSpPr>
          <a:spLocks/>
        </xdr:cNvSpPr>
      </xdr:nvSpPr>
      <xdr:spPr>
        <a:xfrm>
          <a:off x="0" y="2133600"/>
          <a:ext cx="79152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93</xdr:row>
      <xdr:rowOff>95250</xdr:rowOff>
    </xdr:from>
    <xdr:ext cx="7258050" cy="0"/>
    <xdr:sp>
      <xdr:nvSpPr>
        <xdr:cNvPr id="7" name="Line 61"/>
        <xdr:cNvSpPr>
          <a:spLocks/>
        </xdr:cNvSpPr>
      </xdr:nvSpPr>
      <xdr:spPr>
        <a:xfrm flipV="1">
          <a:off x="0" y="14354175"/>
          <a:ext cx="72580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absolute">
    <xdr:from>
      <xdr:col>2</xdr:col>
      <xdr:colOff>66675</xdr:colOff>
      <xdr:row>13</xdr:row>
      <xdr:rowOff>9525</xdr:rowOff>
    </xdr:from>
    <xdr:to>
      <xdr:col>2</xdr:col>
      <xdr:colOff>676275</xdr:colOff>
      <xdr:row>13</xdr:row>
      <xdr:rowOff>219075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533650"/>
          <a:ext cx="60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2</xdr:col>
      <xdr:colOff>66675</xdr:colOff>
      <xdr:row>13</xdr:row>
      <xdr:rowOff>161925</xdr:rowOff>
    </xdr:from>
    <xdr:to>
      <xdr:col>2</xdr:col>
      <xdr:colOff>752475</xdr:colOff>
      <xdr:row>13</xdr:row>
      <xdr:rowOff>381000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26860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76200</xdr:colOff>
      <xdr:row>13</xdr:row>
      <xdr:rowOff>323850</xdr:rowOff>
    </xdr:from>
    <xdr:to>
      <xdr:col>2</xdr:col>
      <xdr:colOff>933450</xdr:colOff>
      <xdr:row>13</xdr:row>
      <xdr:rowOff>542925</xdr:rowOff>
    </xdr:to>
    <xdr:pic>
      <xdr:nvPicPr>
        <xdr:cNvPr id="10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8479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13</xdr:row>
      <xdr:rowOff>323850</xdr:rowOff>
    </xdr:from>
    <xdr:to>
      <xdr:col>2</xdr:col>
      <xdr:colOff>1257300</xdr:colOff>
      <xdr:row>13</xdr:row>
      <xdr:rowOff>523875</xdr:rowOff>
    </xdr:to>
    <xdr:pic>
      <xdr:nvPicPr>
        <xdr:cNvPr id="11" name="TextBox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2847975"/>
          <a:ext cx="1038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</xdr:row>
      <xdr:rowOff>323850</xdr:rowOff>
    </xdr:from>
    <xdr:to>
      <xdr:col>2</xdr:col>
      <xdr:colOff>209550</xdr:colOff>
      <xdr:row>13</xdr:row>
      <xdr:rowOff>533400</xdr:rowOff>
    </xdr:to>
    <xdr:pic>
      <xdr:nvPicPr>
        <xdr:cNvPr id="12" name="OptionButton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284797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16</xdr:row>
      <xdr:rowOff>190500</xdr:rowOff>
    </xdr:from>
    <xdr:ext cx="5915025" cy="1476375"/>
    <xdr:sp fLocksText="0">
      <xdr:nvSpPr>
        <xdr:cNvPr id="1" name="TextBox 75"/>
        <xdr:cNvSpPr txBox="1">
          <a:spLocks noChangeArrowheads="1"/>
        </xdr:cNvSpPr>
      </xdr:nvSpPr>
      <xdr:spPr>
        <a:xfrm>
          <a:off x="257175" y="3209925"/>
          <a:ext cx="5915025" cy="1476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7</xdr:col>
      <xdr:colOff>790575</xdr:colOff>
      <xdr:row>3</xdr:row>
      <xdr:rowOff>209550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228600</xdr:colOff>
      <xdr:row>0</xdr:row>
      <xdr:rowOff>0</xdr:rowOff>
    </xdr:from>
    <xdr:to>
      <xdr:col>4</xdr:col>
      <xdr:colOff>438150</xdr:colOff>
      <xdr:row>1</xdr:row>
      <xdr:rowOff>19050</xdr:rowOff>
    </xdr:to>
    <xdr:sp>
      <xdr:nvSpPr>
        <xdr:cNvPr id="3" name="TextBox 61"/>
        <xdr:cNvSpPr txBox="1">
          <a:spLocks noChangeArrowheads="1"/>
        </xdr:cNvSpPr>
      </xdr:nvSpPr>
      <xdr:spPr>
        <a:xfrm>
          <a:off x="228600" y="0"/>
          <a:ext cx="396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VALUACIÓN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S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OCIOECONÓMICA</a:t>
          </a:r>
        </a:p>
      </xdr:txBody>
    </xdr:sp>
    <xdr:clientData fPrintsWithSheet="0"/>
  </xdr:twoCellAnchor>
  <xdr:twoCellAnchor editAs="absolute">
    <xdr:from>
      <xdr:col>1</xdr:col>
      <xdr:colOff>0</xdr:colOff>
      <xdr:row>2</xdr:row>
      <xdr:rowOff>133350</xdr:rowOff>
    </xdr:from>
    <xdr:to>
      <xdr:col>7</xdr:col>
      <xdr:colOff>114300</xdr:colOff>
      <xdr:row>3</xdr:row>
      <xdr:rowOff>123825</xdr:rowOff>
    </xdr:to>
    <xdr:pic>
      <xdr:nvPicPr>
        <xdr:cNvPr id="4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590550"/>
          <a:ext cx="62769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152400</xdr:colOff>
      <xdr:row>0</xdr:row>
      <xdr:rowOff>76200</xdr:rowOff>
    </xdr:from>
    <xdr:to>
      <xdr:col>7</xdr:col>
      <xdr:colOff>314325</xdr:colOff>
      <xdr:row>1</xdr:row>
      <xdr:rowOff>57150</xdr:rowOff>
    </xdr:to>
    <xdr:sp>
      <xdr:nvSpPr>
        <xdr:cNvPr id="5" name="TextBox 63"/>
        <xdr:cNvSpPr txBox="1">
          <a:spLocks noChangeArrowheads="1"/>
        </xdr:cNvSpPr>
      </xdr:nvSpPr>
      <xdr:spPr>
        <a:xfrm>
          <a:off x="3905250" y="76200"/>
          <a:ext cx="2819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QUIPAMIENTO EN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 fPrintsWithSheet="0"/>
  </xdr:twoCellAnchor>
  <xdr:twoCellAnchor editAs="absolute">
    <xdr:from>
      <xdr:col>7</xdr:col>
      <xdr:colOff>171450</xdr:colOff>
      <xdr:row>1</xdr:row>
      <xdr:rowOff>9525</xdr:rowOff>
    </xdr:from>
    <xdr:to>
      <xdr:col>7</xdr:col>
      <xdr:colOff>714375</xdr:colOff>
      <xdr:row>2</xdr:row>
      <xdr:rowOff>142875</xdr:rowOff>
    </xdr:to>
    <xdr:pic>
      <xdr:nvPicPr>
        <xdr:cNvPr id="6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81775" y="2381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0</xdr:col>
      <xdr:colOff>0</xdr:colOff>
      <xdr:row>14</xdr:row>
      <xdr:rowOff>9525</xdr:rowOff>
    </xdr:from>
    <xdr:ext cx="7219950" cy="0"/>
    <xdr:sp>
      <xdr:nvSpPr>
        <xdr:cNvPr id="7" name="Line 126"/>
        <xdr:cNvSpPr>
          <a:spLocks/>
        </xdr:cNvSpPr>
      </xdr:nvSpPr>
      <xdr:spPr>
        <a:xfrm>
          <a:off x="0" y="2638425"/>
          <a:ext cx="72199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0</xdr:col>
      <xdr:colOff>0</xdr:colOff>
      <xdr:row>84</xdr:row>
      <xdr:rowOff>85725</xdr:rowOff>
    </xdr:from>
    <xdr:ext cx="7277100" cy="0"/>
    <xdr:sp>
      <xdr:nvSpPr>
        <xdr:cNvPr id="8" name="Line 128"/>
        <xdr:cNvSpPr>
          <a:spLocks/>
        </xdr:cNvSpPr>
      </xdr:nvSpPr>
      <xdr:spPr>
        <a:xfrm>
          <a:off x="0" y="13173075"/>
          <a:ext cx="72771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228600</xdr:colOff>
      <xdr:row>3</xdr:row>
      <xdr:rowOff>209550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28575</xdr:colOff>
      <xdr:row>0</xdr:row>
      <xdr:rowOff>9525</xdr:rowOff>
    </xdr:from>
    <xdr:to>
      <xdr:col>5</xdr:col>
      <xdr:colOff>752475</xdr:colOff>
      <xdr:row>1</xdr:row>
      <xdr:rowOff>28575</xdr:rowOff>
    </xdr:to>
    <xdr:sp>
      <xdr:nvSpPr>
        <xdr:cNvPr id="2" name="TextBox 25"/>
        <xdr:cNvSpPr txBox="1">
          <a:spLocks noChangeArrowheads="1"/>
        </xdr:cNvSpPr>
      </xdr:nvSpPr>
      <xdr:spPr>
        <a:xfrm>
          <a:off x="276225" y="9525"/>
          <a:ext cx="409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NDICADORES</a:t>
          </a:r>
        </a:p>
      </xdr:txBody>
    </xdr:sp>
    <xdr:clientData fPrintsWithSheet="0"/>
  </xdr:twoCellAnchor>
  <xdr:twoCellAnchor>
    <xdr:from>
      <xdr:col>5</xdr:col>
      <xdr:colOff>533400</xdr:colOff>
      <xdr:row>0</xdr:row>
      <xdr:rowOff>76200</xdr:rowOff>
    </xdr:from>
    <xdr:to>
      <xdr:col>9</xdr:col>
      <xdr:colOff>76200</xdr:colOff>
      <xdr:row>1</xdr:row>
      <xdr:rowOff>57150</xdr:rowOff>
    </xdr:to>
    <xdr:sp>
      <xdr:nvSpPr>
        <xdr:cNvPr id="3" name="TextBox 27"/>
        <xdr:cNvSpPr txBox="1">
          <a:spLocks noChangeArrowheads="1"/>
        </xdr:cNvSpPr>
      </xdr:nvSpPr>
      <xdr:spPr>
        <a:xfrm>
          <a:off x="4152900" y="76200"/>
          <a:ext cx="2895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QUIPAMIENTO EN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 fPrintsWithSheet="0"/>
  </xdr:twoCellAnchor>
  <xdr:twoCellAnchor editAs="absolute">
    <xdr:from>
      <xdr:col>8</xdr:col>
      <xdr:colOff>495300</xdr:colOff>
      <xdr:row>1</xdr:row>
      <xdr:rowOff>9525</xdr:rowOff>
    </xdr:from>
    <xdr:to>
      <xdr:col>9</xdr:col>
      <xdr:colOff>152400</xdr:colOff>
      <xdr:row>2</xdr:row>
      <xdr:rowOff>142875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57150</xdr:colOff>
      <xdr:row>28</xdr:row>
      <xdr:rowOff>104775</xdr:rowOff>
    </xdr:from>
    <xdr:to>
      <xdr:col>7</xdr:col>
      <xdr:colOff>704850</xdr:colOff>
      <xdr:row>53</xdr:row>
      <xdr:rowOff>47625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05777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</xdr:row>
      <xdr:rowOff>209550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4</xdr:col>
      <xdr:colOff>180975</xdr:colOff>
      <xdr:row>1</xdr:row>
      <xdr:rowOff>38100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247650" y="0"/>
          <a:ext cx="3562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UENTES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F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INANCIACIÓN</a:t>
          </a:r>
        </a:p>
      </xdr:txBody>
    </xdr:sp>
    <xdr:clientData fPrintsWithSheet="0"/>
  </xdr:twoCellAnchor>
  <xdr:twoCellAnchor>
    <xdr:from>
      <xdr:col>4</xdr:col>
      <xdr:colOff>276225</xdr:colOff>
      <xdr:row>0</xdr:row>
      <xdr:rowOff>76200</xdr:rowOff>
    </xdr:from>
    <xdr:to>
      <xdr:col>9</xdr:col>
      <xdr:colOff>171450</xdr:colOff>
      <xdr:row>1</xdr:row>
      <xdr:rowOff>38100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3905250" y="76200"/>
          <a:ext cx="3467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QUIPAMIENTO EN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 fPrintsWithSheet="0"/>
  </xdr:twoCellAnchor>
  <xdr:twoCellAnchor>
    <xdr:from>
      <xdr:col>8</xdr:col>
      <xdr:colOff>95250</xdr:colOff>
      <xdr:row>1</xdr:row>
      <xdr:rowOff>9525</xdr:rowOff>
    </xdr:from>
    <xdr:to>
      <xdr:col>8</xdr:col>
      <xdr:colOff>638175</xdr:colOff>
      <xdr:row>2</xdr:row>
      <xdr:rowOff>142875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190500</xdr:colOff>
      <xdr:row>3</xdr:row>
      <xdr:rowOff>209550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0" y="0"/>
          <a:ext cx="7134225" cy="8953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1</xdr:col>
      <xdr:colOff>9525</xdr:colOff>
      <xdr:row>0</xdr:row>
      <xdr:rowOff>9525</xdr:rowOff>
    </xdr:from>
    <xdr:to>
      <xdr:col>5</xdr:col>
      <xdr:colOff>485775</xdr:colOff>
      <xdr:row>1</xdr:row>
      <xdr:rowOff>38100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257175" y="9525"/>
          <a:ext cx="381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NÁLISIS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S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ENSIBILIDAD</a:t>
          </a:r>
        </a:p>
      </xdr:txBody>
    </xdr:sp>
    <xdr:clientData fPrintsWithSheet="0"/>
  </xdr:twoCellAnchor>
  <xdr:twoCellAnchor>
    <xdr:from>
      <xdr:col>5</xdr:col>
      <xdr:colOff>533400</xdr:colOff>
      <xdr:row>0</xdr:row>
      <xdr:rowOff>76200</xdr:rowOff>
    </xdr:from>
    <xdr:to>
      <xdr:col>9</xdr:col>
      <xdr:colOff>428625</xdr:colOff>
      <xdr:row>1</xdr:row>
      <xdr:rowOff>66675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4124325" y="76200"/>
          <a:ext cx="3248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QUIPAMIENTO EN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 fPrintsWithSheet="0"/>
  </xdr:twoCellAnchor>
  <xdr:oneCellAnchor>
    <xdr:from>
      <xdr:col>6</xdr:col>
      <xdr:colOff>9525</xdr:colOff>
      <xdr:row>7</xdr:row>
      <xdr:rowOff>28575</xdr:rowOff>
    </xdr:from>
    <xdr:ext cx="609600" cy="342900"/>
    <xdr:sp macro="[0]!Sensibilidad1">
      <xdr:nvSpPr>
        <xdr:cNvPr id="4" name="TextBox 26"/>
        <xdr:cNvSpPr txBox="1">
          <a:spLocks noChangeArrowheads="1"/>
        </xdr:cNvSpPr>
      </xdr:nvSpPr>
      <xdr:spPr>
        <a:xfrm>
          <a:off x="4381500" y="1533525"/>
          <a:ext cx="609600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Indices</a:t>
          </a:r>
        </a:p>
      </xdr:txBody>
    </xdr:sp>
    <xdr:clientData fPrintsWithSheet="0"/>
  </xdr:oneCellAnchor>
  <xdr:twoCellAnchor editAs="absolute">
    <xdr:from>
      <xdr:col>8</xdr:col>
      <xdr:colOff>419100</xdr:colOff>
      <xdr:row>1</xdr:row>
      <xdr:rowOff>9525</xdr:rowOff>
    </xdr:from>
    <xdr:to>
      <xdr:col>9</xdr:col>
      <xdr:colOff>180975</xdr:colOff>
      <xdr:row>2</xdr:row>
      <xdr:rowOff>142875</xdr:rowOff>
    </xdr:to>
    <xdr:pic>
      <xdr:nvPicPr>
        <xdr:cNvPr id="5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18</xdr:row>
      <xdr:rowOff>0</xdr:rowOff>
    </xdr:from>
    <xdr:ext cx="3790950" cy="1162050"/>
    <xdr:sp fLocksText="0">
      <xdr:nvSpPr>
        <xdr:cNvPr id="1" name="TextBox 16"/>
        <xdr:cNvSpPr txBox="1">
          <a:spLocks noChangeArrowheads="1"/>
        </xdr:cNvSpPr>
      </xdr:nvSpPr>
      <xdr:spPr>
        <a:xfrm>
          <a:off x="285750" y="3276600"/>
          <a:ext cx="3790950" cy="1162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32</xdr:row>
      <xdr:rowOff>0</xdr:rowOff>
    </xdr:from>
    <xdr:ext cx="3800475" cy="228600"/>
    <xdr:sp fLocksText="0">
      <xdr:nvSpPr>
        <xdr:cNvPr id="2" name="TextBox 17"/>
        <xdr:cNvSpPr txBox="1">
          <a:spLocks noChangeArrowheads="1"/>
        </xdr:cNvSpPr>
      </xdr:nvSpPr>
      <xdr:spPr>
        <a:xfrm>
          <a:off x="285750" y="5619750"/>
          <a:ext cx="3800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34</xdr:row>
      <xdr:rowOff>152400</xdr:rowOff>
    </xdr:from>
    <xdr:ext cx="3800475" cy="238125"/>
    <xdr:sp fLocksText="0">
      <xdr:nvSpPr>
        <xdr:cNvPr id="3" name="TextBox 18"/>
        <xdr:cNvSpPr txBox="1">
          <a:spLocks noChangeArrowheads="1"/>
        </xdr:cNvSpPr>
      </xdr:nvSpPr>
      <xdr:spPr>
        <a:xfrm>
          <a:off x="285750" y="6096000"/>
          <a:ext cx="38004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10</xdr:col>
      <xdr:colOff>76200</xdr:colOff>
      <xdr:row>3</xdr:row>
      <xdr:rowOff>209550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28575</xdr:colOff>
      <xdr:row>0</xdr:row>
      <xdr:rowOff>9525</xdr:rowOff>
    </xdr:from>
    <xdr:to>
      <xdr:col>4</xdr:col>
      <xdr:colOff>114300</xdr:colOff>
      <xdr:row>1</xdr:row>
      <xdr:rowOff>123825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276225" y="9525"/>
          <a:ext cx="3305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ONCLUSIONES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Y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R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ECOMENDACIONES</a:t>
          </a:r>
        </a:p>
      </xdr:txBody>
    </xdr:sp>
    <xdr:clientData fPrintsWithSheet="0"/>
  </xdr:twoCellAnchor>
  <xdr:twoCellAnchor>
    <xdr:from>
      <xdr:col>4</xdr:col>
      <xdr:colOff>438150</xdr:colOff>
      <xdr:row>0</xdr:row>
      <xdr:rowOff>76200</xdr:rowOff>
    </xdr:from>
    <xdr:to>
      <xdr:col>9</xdr:col>
      <xdr:colOff>114300</xdr:colOff>
      <xdr:row>1</xdr:row>
      <xdr:rowOff>19050</xdr:rowOff>
    </xdr:to>
    <xdr:sp>
      <xdr:nvSpPr>
        <xdr:cNvPr id="6" name="TextBox 27"/>
        <xdr:cNvSpPr txBox="1">
          <a:spLocks noChangeArrowheads="1"/>
        </xdr:cNvSpPr>
      </xdr:nvSpPr>
      <xdr:spPr>
        <a:xfrm>
          <a:off x="3905250" y="76200"/>
          <a:ext cx="2724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ONSTRUCCIÓN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QUIPAMIENTO EN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ALUD</a:t>
          </a:r>
        </a:p>
      </xdr:txBody>
    </xdr:sp>
    <xdr:clientData fPrintsWithSheet="0"/>
  </xdr:twoCellAnchor>
  <xdr:twoCellAnchor editAs="absolute">
    <xdr:from>
      <xdr:col>9</xdr:col>
      <xdr:colOff>76200</xdr:colOff>
      <xdr:row>1</xdr:row>
      <xdr:rowOff>9525</xdr:rowOff>
    </xdr:from>
    <xdr:to>
      <xdr:col>10</xdr:col>
      <xdr:colOff>9525</xdr:colOff>
      <xdr:row>2</xdr:row>
      <xdr:rowOff>142875</xdr:rowOff>
    </xdr:to>
    <xdr:pic>
      <xdr:nvPicPr>
        <xdr:cNvPr id="7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91300" y="2381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s%20de%20Electrificaci&#243;n%20Rural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_CD-RW\Carpeta%20compartida\Mis%20documentos\Proyectos%20Agropecuari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PARACION"/>
      <sheetName val="ALTERNATIVAS"/>
      <sheetName val="EVALUACIÓN PRIVADA"/>
      <sheetName val="EVALUACIÓN SOCIOECONÓMICA"/>
      <sheetName val="INDICADORES"/>
      <sheetName val="FINANCIACIÓN"/>
      <sheetName val="ANÁLISIS DE SENSIBILIDAD"/>
      <sheetName val="CONCLUSIONES"/>
    </sheetNames>
    <sheetDataSet>
      <sheetData sheetId="3">
        <row r="11">
          <cell r="F11">
            <v>0.101</v>
          </cell>
        </row>
      </sheetData>
      <sheetData sheetId="4">
        <row r="17"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PARACION"/>
      <sheetName val="ALTERNATIVAS"/>
      <sheetName val="EVALUACIÓN SOCIOECONÓMICA"/>
      <sheetName val="EVALUACIÓN PRIVADA"/>
      <sheetName val="INDICADORES"/>
      <sheetName val="FINANCIACIÓN"/>
      <sheetName val="ANÁLISIS DE SENSIBILIDAD"/>
      <sheetName val="CONCLUSIONES"/>
    </sheetNames>
    <sheetDataSet>
      <sheetData sheetId="1">
        <row r="10">
          <cell r="F10">
            <v>1</v>
          </cell>
        </row>
      </sheetData>
      <sheetData sheetId="3">
        <row r="31">
          <cell r="E31">
            <v>100</v>
          </cell>
        </row>
        <row r="69">
          <cell r="E69">
            <v>0</v>
          </cell>
        </row>
        <row r="103">
          <cell r="E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10.7109375" style="0" customWidth="1"/>
    <col min="2" max="2" width="9.7109375" style="0" customWidth="1"/>
    <col min="3" max="16384" width="9.140625" style="0" customWidth="1"/>
  </cols>
  <sheetData>
    <row r="1" spans="1:14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38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>
      <c r="A6" s="39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>
      <c r="A7" s="39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3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5.75">
      <c r="A9" s="38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5">
      <c r="A10" s="39" t="s">
        <v>0</v>
      </c>
      <c r="B10" s="36"/>
      <c r="C10" s="36"/>
      <c r="D10" s="36"/>
      <c r="E10" s="36"/>
      <c r="F10" s="36"/>
      <c r="G10" s="37"/>
      <c r="H10" s="36"/>
      <c r="I10" s="36"/>
      <c r="J10" s="36"/>
      <c r="K10" s="36"/>
      <c r="L10" s="36"/>
      <c r="M10" s="36"/>
      <c r="N10" s="36"/>
    </row>
    <row r="11" spans="1:14" ht="15">
      <c r="A11" s="39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">
      <c r="A12" s="39" t="s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5">
      <c r="A13" s="39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">
      <c r="A14" s="39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">
      <c r="A15" s="39" t="s">
        <v>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</sheetData>
  <sheetProtection sheet="1" objects="1" scenarios="1"/>
  <printOptions/>
  <pageMargins left="1.7716535433070868" right="0.75" top="1.1811023622047245" bottom="1" header="0.5118110236220472" footer="0.5118110236220472"/>
  <pageSetup fitToHeight="1" fitToWidth="1" horizontalDpi="360" verticalDpi="360" orientation="landscape" scale="92" r:id="rId3"/>
  <headerFooter alignWithMargins="0">
    <oddFooter>&amp;L&amp;D&amp;R&amp;P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48"/>
  <sheetViews>
    <sheetView showGridLines="0" showRowColHeaders="0" zoomScaleSheetLayoutView="10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140625" style="0" customWidth="1"/>
    <col min="2" max="2" width="14.7109375" style="0" customWidth="1"/>
    <col min="3" max="3" width="15.421875" style="0" customWidth="1"/>
    <col min="4" max="6" width="7.7109375" style="0" customWidth="1"/>
    <col min="7" max="7" width="8.00390625" style="0" customWidth="1"/>
    <col min="8" max="8" width="8.7109375" style="0" customWidth="1"/>
    <col min="9" max="13" width="7.7109375" style="0" customWidth="1"/>
    <col min="14" max="14" width="10.00390625" style="0" customWidth="1"/>
    <col min="15" max="95" width="7.7109375" style="0" customWidth="1"/>
    <col min="96" max="16384" width="9.140625" style="0" customWidth="1"/>
  </cols>
  <sheetData>
    <row r="1" spans="1:15" ht="18" customHeight="1">
      <c r="A1" s="40"/>
      <c r="B1" s="226">
        <f>INDICADORES!E34</f>
        <v>44.09</v>
      </c>
      <c r="C1" s="227">
        <f>INDICADORES!F34</f>
        <v>29.85</v>
      </c>
      <c r="D1" s="231" t="e">
        <f>INDICADORES!#REF!</f>
        <v>#REF!</v>
      </c>
      <c r="E1" s="228" t="e">
        <f>INDICADORES!#REF!</f>
        <v>#REF!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 customHeight="1">
      <c r="A2" s="41"/>
      <c r="B2" s="228">
        <f>INDICADORES!E40</f>
        <v>171.92</v>
      </c>
      <c r="C2" s="228">
        <f>INDICADORES!F40</f>
        <v>143.53</v>
      </c>
      <c r="D2" s="228" t="e">
        <f>INDICADORES!#REF!</f>
        <v>#REF!</v>
      </c>
      <c r="E2" s="228" t="e">
        <f>INDICADORES!#REF!</f>
        <v>#REF!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41"/>
      <c r="B3" s="232">
        <f>INDICADORES!E46</f>
        <v>17.28</v>
      </c>
      <c r="C3" s="233">
        <f>INDICADORES!F46</f>
        <v>11.19</v>
      </c>
      <c r="D3" s="233" t="e">
        <f>INDICADORES!#REF!</f>
        <v>#REF!</v>
      </c>
      <c r="E3" s="233" t="e">
        <f>INDICADORES!#REF!</f>
        <v>#REF!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" customHeight="1">
      <c r="A4" s="41"/>
      <c r="B4" s="234">
        <f>INDICADORES!E52</f>
        <v>3.18</v>
      </c>
      <c r="C4" s="233">
        <f>INDICADORES!F52</f>
        <v>1.88</v>
      </c>
      <c r="D4" s="233" t="e">
        <f>INDICADORES!#REF!</f>
        <v>#REF!</v>
      </c>
      <c r="E4" s="233" t="e">
        <f>INDICADORES!#REF!</f>
        <v>#REF!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1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1"/>
      <c r="F6" s="2"/>
      <c r="G6" s="2"/>
      <c r="H6" s="3"/>
      <c r="I6" s="2" t="s">
        <v>9</v>
      </c>
      <c r="J6" s="2"/>
      <c r="K6" s="2"/>
      <c r="L6" s="2"/>
      <c r="M6" s="2"/>
      <c r="N6" s="2"/>
      <c r="O6" s="2"/>
    </row>
    <row r="7" spans="1:15" ht="12.75">
      <c r="A7" s="1"/>
      <c r="B7" s="4"/>
      <c r="C7" s="5"/>
      <c r="D7" s="5"/>
      <c r="E7" s="340"/>
      <c r="F7" s="340"/>
      <c r="G7" s="2"/>
      <c r="H7" s="3" t="s">
        <v>8</v>
      </c>
      <c r="I7" s="2" t="s">
        <v>9</v>
      </c>
      <c r="J7" s="2"/>
      <c r="K7" s="2"/>
      <c r="L7" s="2"/>
      <c r="M7" s="2"/>
      <c r="N7" s="2"/>
      <c r="O7" s="2"/>
    </row>
    <row r="8" spans="1:15" ht="15">
      <c r="A8" s="1"/>
      <c r="B8" s="343" t="s">
        <v>69</v>
      </c>
      <c r="C8" s="343"/>
      <c r="D8" s="343"/>
      <c r="E8" s="343"/>
      <c r="F8" s="343"/>
      <c r="G8" s="49"/>
      <c r="H8" s="3" t="s">
        <v>11</v>
      </c>
      <c r="I8" s="2" t="s">
        <v>10</v>
      </c>
      <c r="J8" s="2"/>
      <c r="K8" s="2"/>
      <c r="L8" s="2"/>
      <c r="M8" s="2"/>
      <c r="N8" s="2"/>
      <c r="O8" s="2"/>
    </row>
    <row r="9" spans="1:15" ht="12.75">
      <c r="A9" s="1"/>
      <c r="B9" s="50"/>
      <c r="C9" s="51"/>
      <c r="D9" s="52"/>
      <c r="E9" s="53"/>
      <c r="F9" s="53"/>
      <c r="G9" s="49"/>
      <c r="H9" s="3"/>
      <c r="I9" s="2"/>
      <c r="J9" s="2"/>
      <c r="K9" s="2"/>
      <c r="L9" s="2"/>
      <c r="M9" s="2"/>
      <c r="N9" s="2"/>
      <c r="O9" s="2"/>
    </row>
    <row r="10" spans="1:15" ht="12.75">
      <c r="A10" s="1"/>
      <c r="B10" s="50"/>
      <c r="C10" s="51"/>
      <c r="D10" s="52"/>
      <c r="E10" s="53"/>
      <c r="F10" s="53"/>
      <c r="G10" s="49"/>
      <c r="H10" s="3"/>
      <c r="I10" s="2"/>
      <c r="J10" s="2"/>
      <c r="K10" s="2"/>
      <c r="L10" s="2"/>
      <c r="M10" s="2"/>
      <c r="N10" s="2"/>
      <c r="O10" s="2"/>
    </row>
    <row r="11" spans="1:15" ht="13.5" thickBot="1">
      <c r="A11" s="1"/>
      <c r="B11" s="50"/>
      <c r="C11" s="51"/>
      <c r="D11" s="52"/>
      <c r="E11" s="53"/>
      <c r="F11" s="53"/>
      <c r="G11" s="49"/>
      <c r="H11" s="101">
        <f>AñosOperacion+AñosInversion-1</f>
        <v>1</v>
      </c>
      <c r="I11" s="2"/>
      <c r="J11" s="2"/>
      <c r="K11" s="2"/>
      <c r="L11" s="2"/>
      <c r="M11" s="2"/>
      <c r="N11" s="2"/>
      <c r="O11" s="2"/>
    </row>
    <row r="12" spans="1:15" ht="15.75" thickBot="1">
      <c r="A12" s="1"/>
      <c r="B12" s="48" t="s">
        <v>222</v>
      </c>
      <c r="C12" s="51"/>
      <c r="D12" s="52"/>
      <c r="E12" s="53"/>
      <c r="F12" s="53"/>
      <c r="H12" s="165">
        <v>1</v>
      </c>
      <c r="I12" s="2"/>
      <c r="J12" s="2"/>
      <c r="K12" s="2"/>
      <c r="L12" s="2"/>
      <c r="M12" s="2"/>
      <c r="N12" s="2"/>
      <c r="O12" s="2"/>
    </row>
    <row r="13" spans="1:15" ht="15.75" thickBot="1">
      <c r="A13" s="1"/>
      <c r="B13" s="48" t="s">
        <v>223</v>
      </c>
      <c r="C13" s="51"/>
      <c r="D13" s="52"/>
      <c r="E13" s="53"/>
      <c r="F13" s="53"/>
      <c r="H13" s="165">
        <v>1</v>
      </c>
      <c r="I13" s="2"/>
      <c r="J13" s="2"/>
      <c r="K13" s="2"/>
      <c r="L13" s="2"/>
      <c r="M13" s="2"/>
      <c r="N13" s="2"/>
      <c r="O13" s="2"/>
    </row>
    <row r="14" spans="1:15" ht="15.75" thickBot="1">
      <c r="A14" s="1"/>
      <c r="B14" s="48" t="s">
        <v>224</v>
      </c>
      <c r="C14" s="51"/>
      <c r="D14" s="52"/>
      <c r="E14" s="53"/>
      <c r="F14" s="53"/>
      <c r="H14" s="165">
        <f ca="1">YEAR(NOW())</f>
        <v>2008</v>
      </c>
      <c r="I14" s="2"/>
      <c r="J14" s="2"/>
      <c r="K14" s="2"/>
      <c r="L14" s="2"/>
      <c r="M14" s="2"/>
      <c r="N14" s="2"/>
      <c r="O14" s="2"/>
    </row>
    <row r="15" spans="1:15" ht="13.5" thickBot="1">
      <c r="A15" s="1"/>
      <c r="I15" s="2"/>
      <c r="J15" s="2"/>
      <c r="K15" s="2"/>
      <c r="L15" s="2"/>
      <c r="M15" s="2"/>
      <c r="N15" s="2"/>
      <c r="O15" s="2"/>
    </row>
    <row r="16" spans="1:15" ht="12.75">
      <c r="A16" s="1"/>
      <c r="B16" s="344" t="s">
        <v>228</v>
      </c>
      <c r="C16" s="345"/>
      <c r="D16" s="345"/>
      <c r="E16" s="345"/>
      <c r="F16" s="345"/>
      <c r="G16" s="345"/>
      <c r="H16" s="345"/>
      <c r="I16" s="346"/>
      <c r="J16" s="2"/>
      <c r="K16" s="2"/>
      <c r="L16" s="2"/>
      <c r="M16" s="2"/>
      <c r="N16" s="2"/>
      <c r="O16" s="2"/>
    </row>
    <row r="17" spans="1:15" ht="13.5" customHeight="1" thickBot="1">
      <c r="A17" s="1"/>
      <c r="B17" s="347"/>
      <c r="C17" s="348"/>
      <c r="D17" s="348"/>
      <c r="E17" s="348"/>
      <c r="F17" s="348"/>
      <c r="G17" s="348"/>
      <c r="H17" s="348"/>
      <c r="I17" s="349"/>
      <c r="J17" s="2"/>
      <c r="K17" s="2"/>
      <c r="L17" s="2"/>
      <c r="M17" s="2"/>
      <c r="N17" s="2"/>
      <c r="O17" s="2"/>
    </row>
    <row r="18" spans="1:15" ht="13.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1"/>
      <c r="B19" s="61" t="s">
        <v>166</v>
      </c>
      <c r="C19" s="50"/>
      <c r="D19" s="50"/>
      <c r="E19" s="50"/>
      <c r="F19" s="50"/>
      <c r="G19" s="49"/>
      <c r="H19" s="2"/>
      <c r="I19" s="2"/>
      <c r="J19" s="2"/>
      <c r="K19" s="2"/>
      <c r="L19" s="2"/>
      <c r="M19" s="2"/>
      <c r="N19" s="2"/>
      <c r="O19" s="2"/>
    </row>
    <row r="20" spans="1:15" ht="12.75">
      <c r="A20" s="1"/>
      <c r="B20" s="60"/>
      <c r="C20" s="50"/>
      <c r="D20" s="50"/>
      <c r="E20" s="50"/>
      <c r="F20" s="50"/>
      <c r="G20" s="49"/>
      <c r="H20" s="2"/>
      <c r="I20" s="2"/>
      <c r="J20" s="2"/>
      <c r="K20" s="2"/>
      <c r="L20" s="2"/>
      <c r="M20" s="2"/>
      <c r="N20" s="2"/>
      <c r="O20" s="2"/>
    </row>
    <row r="21" spans="1:15" ht="12.75">
      <c r="A21" s="1"/>
      <c r="B21" s="60"/>
      <c r="C21" s="50"/>
      <c r="D21" s="50"/>
      <c r="E21" s="50"/>
      <c r="F21" s="50"/>
      <c r="G21" s="49"/>
      <c r="H21" s="2"/>
      <c r="I21" s="2"/>
      <c r="J21" s="2"/>
      <c r="K21" s="2"/>
      <c r="L21" s="2"/>
      <c r="M21" s="2"/>
      <c r="N21" s="2"/>
      <c r="O21" s="2"/>
    </row>
    <row r="22" spans="1:15" ht="12.75">
      <c r="A22" s="1"/>
      <c r="B22" s="60"/>
      <c r="C22" s="50"/>
      <c r="D22" s="50"/>
      <c r="E22" s="50"/>
      <c r="F22" s="50"/>
      <c r="G22" s="49"/>
      <c r="H22" s="2"/>
      <c r="I22" s="2"/>
      <c r="J22" s="2"/>
      <c r="K22" s="2"/>
      <c r="L22" s="2"/>
      <c r="M22" s="2"/>
      <c r="N22" s="2"/>
      <c r="O22" s="2"/>
    </row>
    <row r="23" spans="1:15" ht="15">
      <c r="A23" s="1"/>
      <c r="B23" s="265" t="s">
        <v>325</v>
      </c>
      <c r="C23" s="265"/>
      <c r="D23" s="265"/>
      <c r="E23" s="61"/>
      <c r="F23" s="265" t="s">
        <v>288</v>
      </c>
      <c r="G23" s="265"/>
      <c r="H23" s="265"/>
      <c r="I23" s="2"/>
      <c r="J23" s="2"/>
      <c r="K23" s="2"/>
      <c r="L23" s="2"/>
      <c r="M23" s="2"/>
      <c r="N23" s="2"/>
      <c r="O23" s="2"/>
    </row>
    <row r="24" spans="1:15" ht="12.75">
      <c r="A24" s="1"/>
      <c r="B24" s="128"/>
      <c r="C24" s="129"/>
      <c r="D24" s="12"/>
      <c r="E24" s="2"/>
      <c r="F24" s="128"/>
      <c r="G24" s="129"/>
      <c r="H24" s="12"/>
      <c r="I24" s="2"/>
      <c r="J24" s="2"/>
      <c r="K24" s="2"/>
      <c r="L24" s="2"/>
      <c r="M24" s="2"/>
      <c r="N24" s="2"/>
      <c r="O24" s="2"/>
    </row>
    <row r="25" spans="1:15" ht="12.75">
      <c r="A25" s="1"/>
      <c r="B25" s="128"/>
      <c r="C25" s="130"/>
      <c r="D25" s="12"/>
      <c r="E25" s="2"/>
      <c r="F25" s="128"/>
      <c r="G25" s="130"/>
      <c r="H25" s="12"/>
      <c r="I25" s="2"/>
      <c r="J25" s="2"/>
      <c r="K25" s="2"/>
      <c r="L25" s="2"/>
      <c r="M25" s="2"/>
      <c r="N25" s="2"/>
      <c r="O25" s="2"/>
    </row>
    <row r="26" spans="1:15" ht="12.75">
      <c r="A26" s="1"/>
      <c r="B26" s="128"/>
      <c r="C26" s="130"/>
      <c r="D26" s="12"/>
      <c r="E26" s="2"/>
      <c r="F26" s="128"/>
      <c r="G26" s="130"/>
      <c r="H26" s="12"/>
      <c r="I26" s="2"/>
      <c r="J26" s="2"/>
      <c r="K26" s="2"/>
      <c r="L26" s="2"/>
      <c r="M26" s="2"/>
      <c r="N26" s="2"/>
      <c r="O26" s="2"/>
    </row>
    <row r="27" spans="1:15" ht="12.75">
      <c r="A27" s="1"/>
      <c r="B27" s="128"/>
      <c r="C27" s="129"/>
      <c r="D27" s="12"/>
      <c r="E27" s="2"/>
      <c r="F27" s="128"/>
      <c r="G27" s="129"/>
      <c r="H27" s="12"/>
      <c r="I27" s="2"/>
      <c r="J27" s="2"/>
      <c r="K27" s="2"/>
      <c r="L27" s="2"/>
      <c r="M27" s="2"/>
      <c r="N27" s="2"/>
      <c r="O27" s="2"/>
    </row>
    <row r="28" spans="1:15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"/>
      <c r="B29" s="343" t="s">
        <v>70</v>
      </c>
      <c r="C29" s="343"/>
      <c r="D29" s="343"/>
      <c r="E29" s="343"/>
      <c r="F29" s="343"/>
      <c r="G29" s="343"/>
      <c r="H29" s="2"/>
      <c r="I29" s="2"/>
      <c r="J29" s="2"/>
      <c r="K29" s="2"/>
      <c r="L29" s="2"/>
      <c r="M29" s="2"/>
      <c r="N29" s="2"/>
      <c r="O29" s="2"/>
    </row>
    <row r="30" spans="1:15" ht="12.75">
      <c r="A30" s="1"/>
      <c r="B30" s="54" t="s">
        <v>71</v>
      </c>
      <c r="C30" s="51"/>
      <c r="D30" s="52"/>
      <c r="E30" s="55"/>
      <c r="F30" s="56" t="s">
        <v>72</v>
      </c>
      <c r="G30" s="49"/>
      <c r="H30" s="2"/>
      <c r="I30" s="2"/>
      <c r="J30" s="2"/>
      <c r="K30" s="2"/>
      <c r="L30" s="2"/>
      <c r="M30" s="2"/>
      <c r="N30" s="2"/>
      <c r="O30" s="2"/>
    </row>
    <row r="31" spans="1:15" ht="12.75">
      <c r="A31" s="1"/>
      <c r="B31" s="52"/>
      <c r="C31" s="52"/>
      <c r="D31" s="52"/>
      <c r="E31" s="341"/>
      <c r="F31" s="341"/>
      <c r="G31" s="49"/>
      <c r="H31" s="2"/>
      <c r="I31" s="2"/>
      <c r="J31" s="2"/>
      <c r="K31" s="2"/>
      <c r="L31" s="2"/>
      <c r="M31" s="2"/>
      <c r="N31" s="2"/>
      <c r="O31" s="2"/>
    </row>
    <row r="32" spans="1:15" ht="12.75">
      <c r="A32" s="1"/>
      <c r="B32" s="52"/>
      <c r="C32" s="52"/>
      <c r="D32" s="52"/>
      <c r="E32" s="342"/>
      <c r="F32" s="342"/>
      <c r="G32" s="49"/>
      <c r="H32" s="2"/>
      <c r="I32" s="2"/>
      <c r="J32" s="2"/>
      <c r="K32" s="2"/>
      <c r="L32" s="2"/>
      <c r="M32" s="2"/>
      <c r="N32" s="2"/>
      <c r="O32" s="2"/>
    </row>
    <row r="33" spans="1:15" ht="12.75">
      <c r="A33" s="1"/>
      <c r="B33" s="51"/>
      <c r="C33" s="51"/>
      <c r="D33" s="51"/>
      <c r="E33" s="51"/>
      <c r="F33" s="51"/>
      <c r="G33" s="49"/>
      <c r="H33" s="2"/>
      <c r="I33" s="2"/>
      <c r="J33" s="2"/>
      <c r="K33" s="2"/>
      <c r="L33" s="2"/>
      <c r="M33" s="2"/>
      <c r="N33" s="2"/>
      <c r="O33" s="2"/>
    </row>
    <row r="34" spans="1:15" ht="12.75">
      <c r="A34" s="1"/>
      <c r="B34" s="52"/>
      <c r="C34" s="52"/>
      <c r="D34" s="52"/>
      <c r="E34" s="341"/>
      <c r="F34" s="341"/>
      <c r="G34" s="49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1"/>
      <c r="B35" s="356" t="s">
        <v>73</v>
      </c>
      <c r="C35" s="356"/>
      <c r="D35" s="356"/>
      <c r="E35" s="356"/>
      <c r="F35" s="356"/>
      <c r="G35" s="356"/>
      <c r="H35" s="2"/>
      <c r="I35" s="2"/>
      <c r="J35" s="2"/>
      <c r="K35" s="2"/>
      <c r="L35" s="2"/>
      <c r="M35" s="2"/>
      <c r="N35" s="2"/>
      <c r="O35" s="2"/>
    </row>
    <row r="36" spans="1:15" ht="12.75">
      <c r="A36" s="1"/>
      <c r="B36" s="54" t="s">
        <v>71</v>
      </c>
      <c r="C36" s="56"/>
      <c r="D36" s="57"/>
      <c r="E36" s="53"/>
      <c r="F36" s="56" t="s">
        <v>72</v>
      </c>
      <c r="G36" s="49"/>
      <c r="H36" s="2"/>
      <c r="I36" s="2"/>
      <c r="J36" s="2"/>
      <c r="K36" s="2"/>
      <c r="L36" s="2"/>
      <c r="M36" s="2"/>
      <c r="N36" s="2"/>
      <c r="O36" s="2"/>
    </row>
    <row r="37" spans="1:15" ht="12.75">
      <c r="A37" s="1"/>
      <c r="B37" s="54"/>
      <c r="C37" s="56"/>
      <c r="D37" s="57"/>
      <c r="E37" s="53"/>
      <c r="F37" s="53"/>
      <c r="G37" s="49"/>
      <c r="H37" s="2"/>
      <c r="I37" s="2"/>
      <c r="J37" s="2"/>
      <c r="K37" s="2"/>
      <c r="L37" s="2"/>
      <c r="M37" s="2"/>
      <c r="N37" s="2"/>
      <c r="O37" s="2"/>
    </row>
    <row r="38" spans="1:15" ht="12.75">
      <c r="A38" s="1"/>
      <c r="B38" s="54"/>
      <c r="C38" s="56"/>
      <c r="D38" s="57"/>
      <c r="E38" s="53"/>
      <c r="F38" s="53"/>
      <c r="G38" s="49"/>
      <c r="H38" s="2"/>
      <c r="I38" s="2"/>
      <c r="J38" s="2"/>
      <c r="K38" s="2"/>
      <c r="L38" s="2"/>
      <c r="M38" s="2"/>
      <c r="N38" s="2"/>
      <c r="O38" s="2"/>
    </row>
    <row r="39" spans="1:15" ht="12.75">
      <c r="A39" s="1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</row>
    <row r="40" spans="1:15" ht="12.75">
      <c r="A40" s="1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1"/>
      <c r="B41" s="58" t="s">
        <v>74</v>
      </c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</row>
    <row r="42" spans="1:15" ht="12.75">
      <c r="A42" s="1"/>
      <c r="B42" s="12"/>
      <c r="C42" s="12"/>
      <c r="D42" s="12"/>
      <c r="E42" s="12"/>
      <c r="F42" s="12"/>
      <c r="G42" s="12"/>
      <c r="H42" s="12"/>
      <c r="I42" s="2"/>
      <c r="J42" s="2"/>
      <c r="K42" s="2"/>
      <c r="L42" s="2"/>
      <c r="M42" s="2"/>
      <c r="N42" s="2"/>
      <c r="O42" s="2"/>
    </row>
    <row r="43" spans="1:15" ht="12.75" customHeight="1">
      <c r="A43" s="1"/>
      <c r="B43" s="12"/>
      <c r="C43" s="12"/>
      <c r="D43" s="12"/>
      <c r="E43" s="12"/>
      <c r="F43" s="256" t="s">
        <v>319</v>
      </c>
      <c r="G43" s="255"/>
      <c r="H43" s="262"/>
      <c r="I43" s="2"/>
      <c r="J43" s="2"/>
      <c r="K43" s="2"/>
      <c r="L43" s="2"/>
      <c r="M43" s="2"/>
      <c r="N43" s="2"/>
      <c r="O43" s="2"/>
    </row>
    <row r="44" spans="1:15" ht="12.75" customHeight="1">
      <c r="A44" s="1"/>
      <c r="B44" s="12"/>
      <c r="C44" s="12"/>
      <c r="D44" s="12"/>
      <c r="E44" s="12"/>
      <c r="F44" s="254"/>
      <c r="G44" s="251"/>
      <c r="H44" s="257"/>
      <c r="I44" s="2"/>
      <c r="J44" s="2"/>
      <c r="K44" s="2"/>
      <c r="L44" s="2"/>
      <c r="M44" s="2"/>
      <c r="N44" s="2"/>
      <c r="O44" s="2"/>
    </row>
    <row r="45" spans="1:15" ht="12.75" customHeight="1">
      <c r="A45" s="1"/>
      <c r="B45" s="12"/>
      <c r="C45" s="12"/>
      <c r="D45" s="12"/>
      <c r="E45" s="12"/>
      <c r="F45" s="263" t="s">
        <v>320</v>
      </c>
      <c r="G45" s="264"/>
      <c r="H45" s="262"/>
      <c r="I45" s="2"/>
      <c r="J45" s="2"/>
      <c r="K45" s="2"/>
      <c r="L45" s="2"/>
      <c r="M45" s="2"/>
      <c r="N45" s="2"/>
      <c r="O45" s="2"/>
    </row>
    <row r="46" spans="1:15" ht="12.75" customHeight="1">
      <c r="A46" s="1"/>
      <c r="B46" s="12"/>
      <c r="C46" s="12"/>
      <c r="D46" s="12"/>
      <c r="E46" s="12"/>
      <c r="F46" s="260"/>
      <c r="G46" s="261"/>
      <c r="H46" s="257"/>
      <c r="I46" s="2"/>
      <c r="J46" s="2"/>
      <c r="K46" s="2"/>
      <c r="L46" s="2"/>
      <c r="M46" s="2"/>
      <c r="N46" s="2"/>
      <c r="O46" s="2"/>
    </row>
    <row r="47" spans="1:15" ht="12.75">
      <c r="A47" s="1"/>
      <c r="B47" s="12"/>
      <c r="C47" s="12"/>
      <c r="D47" s="12"/>
      <c r="E47" s="12"/>
      <c r="F47" s="263" t="s">
        <v>324</v>
      </c>
      <c r="G47" s="264"/>
      <c r="H47" s="258">
        <f>SUM(H43:H46)</f>
        <v>0</v>
      </c>
      <c r="I47" s="2"/>
      <c r="J47" s="2"/>
      <c r="K47" s="2"/>
      <c r="L47" s="2"/>
      <c r="M47" s="2"/>
      <c r="N47" s="2"/>
      <c r="O47" s="2"/>
    </row>
    <row r="48" spans="1:15" ht="12.75">
      <c r="A48" s="1"/>
      <c r="B48" s="12"/>
      <c r="C48" s="12"/>
      <c r="D48" s="12"/>
      <c r="E48" s="12"/>
      <c r="F48" s="260"/>
      <c r="G48" s="261"/>
      <c r="H48" s="259"/>
      <c r="I48" s="2"/>
      <c r="J48" s="2"/>
      <c r="K48" s="2"/>
      <c r="L48" s="2"/>
      <c r="M48" s="2"/>
      <c r="N48" s="2"/>
      <c r="O48" s="2"/>
    </row>
    <row r="49" spans="1:15" ht="12.75">
      <c r="A49" s="1"/>
      <c r="B49" s="12"/>
      <c r="C49" s="12"/>
      <c r="D49" s="12"/>
      <c r="E49" s="12"/>
      <c r="F49" s="12"/>
      <c r="G49" s="12"/>
      <c r="H49" s="12"/>
      <c r="I49" s="2"/>
      <c r="J49" s="2"/>
      <c r="K49" s="2"/>
      <c r="L49" s="2"/>
      <c r="M49" s="2"/>
      <c r="N49" s="2"/>
      <c r="O49" s="2"/>
    </row>
    <row r="50" spans="1:15" ht="12.75">
      <c r="A50" s="1"/>
      <c r="I50" s="2"/>
      <c r="J50" s="2"/>
      <c r="K50" s="2"/>
      <c r="L50" s="2"/>
      <c r="M50" s="2"/>
      <c r="N50" s="2"/>
      <c r="O50" s="2"/>
    </row>
    <row r="51" spans="1:15" ht="12.75">
      <c r="A51" s="1"/>
      <c r="I51" s="2"/>
      <c r="J51" s="2"/>
      <c r="K51" s="2"/>
      <c r="L51" s="2"/>
      <c r="M51" s="2"/>
      <c r="N51" s="2"/>
      <c r="O51" s="2"/>
    </row>
    <row r="52" spans="1:15" ht="12.75">
      <c r="A52" s="1"/>
      <c r="I52" s="2"/>
      <c r="J52" s="2"/>
      <c r="K52" s="2"/>
      <c r="L52" s="2"/>
      <c r="M52" s="2"/>
      <c r="N52" s="2"/>
      <c r="O52" s="2"/>
    </row>
    <row r="53" spans="1:15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1"/>
      <c r="B54" s="58" t="s">
        <v>158</v>
      </c>
      <c r="C54" s="49"/>
      <c r="D54" s="49"/>
      <c r="E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1"/>
      <c r="B55" s="59"/>
      <c r="C55" s="49"/>
      <c r="D55" s="4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1"/>
      <c r="B56" s="59"/>
      <c r="C56" s="49"/>
      <c r="D56" s="4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1"/>
      <c r="B57" s="59"/>
      <c r="C57" s="49"/>
      <c r="D57" s="4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1"/>
      <c r="B58" s="59"/>
      <c r="C58" s="49"/>
      <c r="D58" s="4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thickBot="1">
      <c r="A59" s="1"/>
      <c r="B59" s="56" t="s">
        <v>230</v>
      </c>
      <c r="C59" s="138"/>
      <c r="D59" s="138"/>
      <c r="E59" s="138"/>
      <c r="F59" s="138"/>
      <c r="G59" s="138"/>
      <c r="H59" s="138"/>
      <c r="M59" s="2"/>
      <c r="N59" s="2"/>
      <c r="O59" s="2"/>
    </row>
    <row r="60" spans="1:14" ht="12.75">
      <c r="A60" s="1"/>
      <c r="B60" s="312" t="s">
        <v>202</v>
      </c>
      <c r="C60" s="313"/>
      <c r="D60" s="313"/>
      <c r="E60" s="313"/>
      <c r="F60" s="307"/>
      <c r="G60" s="308"/>
      <c r="H60" s="308"/>
      <c r="I60" s="308"/>
      <c r="J60" s="308"/>
      <c r="K60" s="309"/>
      <c r="L60" s="2"/>
      <c r="M60" s="2"/>
      <c r="N60" s="2"/>
    </row>
    <row r="61" spans="1:14" ht="12.75">
      <c r="A61" s="1"/>
      <c r="B61" s="326" t="s">
        <v>203</v>
      </c>
      <c r="C61" s="327"/>
      <c r="D61" s="327"/>
      <c r="E61" s="327"/>
      <c r="F61" s="250"/>
      <c r="G61" s="282"/>
      <c r="H61" s="282"/>
      <c r="I61" s="282"/>
      <c r="J61" s="282"/>
      <c r="K61" s="283"/>
      <c r="L61" s="2"/>
      <c r="M61" s="2"/>
      <c r="N61" s="2"/>
    </row>
    <row r="62" spans="1:14" ht="12.75">
      <c r="A62" s="1"/>
      <c r="B62" s="326" t="s">
        <v>253</v>
      </c>
      <c r="C62" s="327"/>
      <c r="D62" s="327"/>
      <c r="E62" s="327"/>
      <c r="F62" s="250"/>
      <c r="G62" s="282"/>
      <c r="H62" s="282"/>
      <c r="I62" s="282"/>
      <c r="J62" s="282"/>
      <c r="K62" s="283"/>
      <c r="L62" s="2"/>
      <c r="M62" s="2"/>
      <c r="N62" s="2"/>
    </row>
    <row r="63" spans="1:14" ht="12.75">
      <c r="A63" s="1"/>
      <c r="B63" s="326" t="s">
        <v>254</v>
      </c>
      <c r="C63" s="327"/>
      <c r="D63" s="327"/>
      <c r="E63" s="327"/>
      <c r="F63" s="250"/>
      <c r="G63" s="282"/>
      <c r="H63" s="282"/>
      <c r="I63" s="282"/>
      <c r="J63" s="282"/>
      <c r="K63" s="283"/>
      <c r="L63" s="2"/>
      <c r="M63" s="2"/>
      <c r="N63" s="2"/>
    </row>
    <row r="64" spans="1:14" ht="12.75">
      <c r="A64" s="1"/>
      <c r="B64" s="326" t="s">
        <v>234</v>
      </c>
      <c r="C64" s="327"/>
      <c r="D64" s="327"/>
      <c r="E64" s="327"/>
      <c r="F64" s="250"/>
      <c r="G64" s="282"/>
      <c r="H64" s="282"/>
      <c r="I64" s="282"/>
      <c r="J64" s="282"/>
      <c r="K64" s="283"/>
      <c r="L64" s="2"/>
      <c r="M64" s="2"/>
      <c r="N64" s="2"/>
    </row>
    <row r="65" spans="1:14" ht="12.75">
      <c r="A65" s="1"/>
      <c r="B65" s="324" t="s">
        <v>256</v>
      </c>
      <c r="C65" s="325"/>
      <c r="D65" s="325"/>
      <c r="E65" s="325"/>
      <c r="F65" s="250"/>
      <c r="G65" s="282"/>
      <c r="H65" s="282"/>
      <c r="I65" s="282"/>
      <c r="J65" s="282"/>
      <c r="K65" s="283"/>
      <c r="L65" s="2"/>
      <c r="M65" s="2"/>
      <c r="N65" s="2"/>
    </row>
    <row r="66" spans="1:14" ht="12.75">
      <c r="A66" s="1"/>
      <c r="B66" s="324" t="s">
        <v>255</v>
      </c>
      <c r="C66" s="325"/>
      <c r="D66" s="325"/>
      <c r="E66" s="325"/>
      <c r="F66" s="250"/>
      <c r="G66" s="282"/>
      <c r="H66" s="282"/>
      <c r="I66" s="282"/>
      <c r="J66" s="282"/>
      <c r="K66" s="283"/>
      <c r="L66" s="2"/>
      <c r="M66" s="2"/>
      <c r="N66" s="2"/>
    </row>
    <row r="67" spans="1:14" ht="12.75">
      <c r="A67" s="1"/>
      <c r="B67" s="324" t="s">
        <v>257</v>
      </c>
      <c r="C67" s="325"/>
      <c r="D67" s="325"/>
      <c r="E67" s="325"/>
      <c r="F67" s="250"/>
      <c r="G67" s="282"/>
      <c r="H67" s="282"/>
      <c r="I67" s="282"/>
      <c r="J67" s="282"/>
      <c r="K67" s="283"/>
      <c r="L67" s="2"/>
      <c r="M67" s="2"/>
      <c r="N67" s="2"/>
    </row>
    <row r="68" spans="1:14" ht="13.5" thickBot="1">
      <c r="A68" s="1"/>
      <c r="B68" s="310" t="s">
        <v>258</v>
      </c>
      <c r="C68" s="311"/>
      <c r="D68" s="311"/>
      <c r="E68" s="311"/>
      <c r="F68" s="317"/>
      <c r="G68" s="318"/>
      <c r="H68" s="318"/>
      <c r="I68" s="318"/>
      <c r="J68" s="318"/>
      <c r="K68" s="319"/>
      <c r="L68" s="2"/>
      <c r="M68" s="2"/>
      <c r="N68" s="2"/>
    </row>
    <row r="69" spans="1:15" ht="12.75">
      <c r="A69" s="1"/>
      <c r="B69" s="138"/>
      <c r="C69" s="138"/>
      <c r="D69" s="138"/>
      <c r="E69" s="138"/>
      <c r="F69" s="138"/>
      <c r="G69" s="138"/>
      <c r="H69" s="138"/>
      <c r="M69" s="2"/>
      <c r="N69" s="2"/>
      <c r="O69" s="2"/>
    </row>
    <row r="70" spans="1:15" ht="13.5" thickBot="1">
      <c r="A70" s="1"/>
      <c r="B70" s="56" t="s">
        <v>204</v>
      </c>
      <c r="C70" s="138"/>
      <c r="D70" s="138"/>
      <c r="E70" s="138"/>
      <c r="F70" s="138"/>
      <c r="G70" s="138"/>
      <c r="H70" s="138"/>
      <c r="M70" s="2"/>
      <c r="N70" s="2"/>
      <c r="O70" s="2"/>
    </row>
    <row r="71" spans="1:14" ht="12.75">
      <c r="A71" s="1"/>
      <c r="B71" s="312" t="s">
        <v>259</v>
      </c>
      <c r="C71" s="313"/>
      <c r="D71" s="313"/>
      <c r="E71" s="313"/>
      <c r="F71" s="307"/>
      <c r="G71" s="308"/>
      <c r="H71" s="308"/>
      <c r="I71" s="308"/>
      <c r="J71" s="308"/>
      <c r="K71" s="309"/>
      <c r="L71" s="2"/>
      <c r="M71" s="2"/>
      <c r="N71" s="2"/>
    </row>
    <row r="72" spans="1:14" ht="13.5" thickBot="1">
      <c r="A72" s="1"/>
      <c r="B72" s="315" t="s">
        <v>260</v>
      </c>
      <c r="C72" s="316"/>
      <c r="D72" s="316"/>
      <c r="E72" s="316"/>
      <c r="F72" s="320"/>
      <c r="G72" s="321"/>
      <c r="H72" s="321"/>
      <c r="I72" s="321"/>
      <c r="J72" s="321"/>
      <c r="K72" s="322"/>
      <c r="L72" s="2"/>
      <c r="M72" s="2"/>
      <c r="N72" s="2"/>
    </row>
    <row r="73" spans="1:15" ht="12.75">
      <c r="A73" s="1"/>
      <c r="B73" s="59"/>
      <c r="C73" s="49"/>
      <c r="D73" s="4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 thickBot="1">
      <c r="A74" s="1"/>
      <c r="B74" s="58" t="s">
        <v>231</v>
      </c>
      <c r="C74" s="49"/>
      <c r="D74" s="4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27" customHeight="1">
      <c r="A75" s="1"/>
      <c r="B75" s="58"/>
      <c r="C75" s="49"/>
      <c r="D75" s="49"/>
      <c r="E75" s="314" t="s">
        <v>159</v>
      </c>
      <c r="F75" s="292"/>
      <c r="G75" s="172" t="s">
        <v>232</v>
      </c>
      <c r="H75" s="247" t="s">
        <v>233</v>
      </c>
      <c r="I75" s="291" t="s">
        <v>5</v>
      </c>
      <c r="J75" s="323"/>
      <c r="K75" s="2"/>
      <c r="L75" s="2"/>
      <c r="M75" s="2"/>
      <c r="N75" s="2"/>
      <c r="O75" s="2"/>
    </row>
    <row r="76" spans="1:15" ht="12.75">
      <c r="A76" s="1"/>
      <c r="B76" s="59"/>
      <c r="C76" s="49"/>
      <c r="D76" s="49"/>
      <c r="E76" s="301" t="s">
        <v>160</v>
      </c>
      <c r="F76" s="302"/>
      <c r="G76" s="173"/>
      <c r="H76" s="173"/>
      <c r="I76" s="305"/>
      <c r="J76" s="306"/>
      <c r="K76" s="2"/>
      <c r="L76" s="2"/>
      <c r="M76" s="2"/>
      <c r="N76" s="2"/>
      <c r="O76" s="2"/>
    </row>
    <row r="77" spans="1:15" ht="12.75">
      <c r="A77" s="1"/>
      <c r="B77" s="59"/>
      <c r="C77" s="49"/>
      <c r="D77" s="49"/>
      <c r="E77" s="301" t="s">
        <v>161</v>
      </c>
      <c r="F77" s="302"/>
      <c r="G77" s="173"/>
      <c r="H77" s="173"/>
      <c r="I77" s="297"/>
      <c r="J77" s="298"/>
      <c r="K77" s="2"/>
      <c r="L77" s="2"/>
      <c r="M77" s="2"/>
      <c r="N77" s="2"/>
      <c r="O77" s="2"/>
    </row>
    <row r="78" spans="1:15" ht="12.75">
      <c r="A78" s="1"/>
      <c r="B78" s="59"/>
      <c r="C78" s="49"/>
      <c r="D78" s="49"/>
      <c r="E78" s="301" t="s">
        <v>162</v>
      </c>
      <c r="F78" s="302"/>
      <c r="G78" s="173"/>
      <c r="H78" s="173"/>
      <c r="I78" s="297"/>
      <c r="J78" s="298"/>
      <c r="K78" s="2"/>
      <c r="L78" s="2"/>
      <c r="M78" s="2"/>
      <c r="N78" s="2"/>
      <c r="O78" s="2"/>
    </row>
    <row r="79" spans="1:15" ht="12.75">
      <c r="A79" s="1"/>
      <c r="B79" s="59"/>
      <c r="C79" s="49"/>
      <c r="D79" s="49"/>
      <c r="E79" s="303" t="s">
        <v>163</v>
      </c>
      <c r="F79" s="304"/>
      <c r="G79" s="174"/>
      <c r="H79" s="174"/>
      <c r="I79" s="299"/>
      <c r="J79" s="300"/>
      <c r="K79" s="2"/>
      <c r="L79" s="2"/>
      <c r="M79" s="2"/>
      <c r="N79" s="2"/>
      <c r="O79" s="2"/>
    </row>
    <row r="80" spans="1:15" ht="12.75">
      <c r="A80" s="1"/>
      <c r="B80" s="59"/>
      <c r="C80" s="49"/>
      <c r="D80" s="49"/>
      <c r="E80" s="301" t="s">
        <v>205</v>
      </c>
      <c r="F80" s="302"/>
      <c r="G80" s="173"/>
      <c r="H80" s="173"/>
      <c r="I80" s="297"/>
      <c r="J80" s="298"/>
      <c r="K80" s="2"/>
      <c r="L80" s="2"/>
      <c r="M80" s="2"/>
      <c r="N80" s="2"/>
      <c r="O80" s="2"/>
    </row>
    <row r="81" spans="1:15" ht="13.5" thickBot="1">
      <c r="A81" s="1"/>
      <c r="B81" s="59"/>
      <c r="C81" s="49"/>
      <c r="D81" s="49"/>
      <c r="E81" s="464" t="s">
        <v>206</v>
      </c>
      <c r="F81" s="465"/>
      <c r="G81" s="171"/>
      <c r="H81" s="171"/>
      <c r="I81" s="284"/>
      <c r="J81" s="285"/>
      <c r="K81" s="2"/>
      <c r="L81" s="2"/>
      <c r="M81" s="2"/>
      <c r="N81" s="2"/>
      <c r="O81" s="2"/>
    </row>
    <row r="82" spans="1:15" ht="12.75">
      <c r="A82" s="1"/>
      <c r="B82" s="59"/>
      <c r="C82" s="49"/>
      <c r="D82" s="49"/>
      <c r="E82" s="2"/>
      <c r="F82" s="2"/>
      <c r="G82" s="139"/>
      <c r="H82" s="139"/>
      <c r="I82" s="139"/>
      <c r="J82" s="139"/>
      <c r="K82" s="2"/>
      <c r="L82" s="2"/>
      <c r="M82" s="2"/>
      <c r="N82" s="2"/>
      <c r="O82" s="2"/>
    </row>
    <row r="83" spans="1:15" ht="18.75" thickBot="1">
      <c r="A83" s="1"/>
      <c r="B83" s="123" t="s">
        <v>178</v>
      </c>
      <c r="C83" s="123"/>
      <c r="D83" s="123"/>
      <c r="E83" s="123"/>
      <c r="F83" s="124"/>
      <c r="G83" s="2"/>
      <c r="H83" s="2"/>
      <c r="I83" s="2"/>
      <c r="J83" s="2"/>
      <c r="K83" s="2"/>
      <c r="L83" s="2"/>
      <c r="M83" s="2"/>
      <c r="N83" s="2"/>
      <c r="O83" s="2"/>
    </row>
    <row r="84" spans="1:15" ht="13.5" thickBot="1">
      <c r="A84" s="1"/>
      <c r="E84" s="467" t="s">
        <v>179</v>
      </c>
      <c r="F84" s="468"/>
      <c r="G84" s="469"/>
      <c r="H84" s="125"/>
      <c r="I84" s="47" t="s">
        <v>180</v>
      </c>
      <c r="J84" s="2"/>
      <c r="K84" s="2"/>
      <c r="L84" s="2"/>
      <c r="M84" s="2"/>
      <c r="N84" s="2"/>
      <c r="O84" s="2"/>
    </row>
    <row r="85" spans="1:15" ht="13.5" thickBot="1">
      <c r="A85" s="1"/>
      <c r="E85" s="467" t="s">
        <v>261</v>
      </c>
      <c r="F85" s="468"/>
      <c r="G85" s="469"/>
      <c r="H85" s="99"/>
      <c r="I85" s="47" t="s">
        <v>181</v>
      </c>
      <c r="J85" s="2"/>
      <c r="K85" s="2"/>
      <c r="L85" s="2"/>
      <c r="M85" s="2"/>
      <c r="N85" s="2"/>
      <c r="O85" s="2"/>
    </row>
    <row r="86" spans="1:15" ht="13.5" thickBot="1">
      <c r="A86" s="1"/>
      <c r="E86" s="467" t="s">
        <v>262</v>
      </c>
      <c r="F86" s="468"/>
      <c r="G86" s="469"/>
      <c r="H86" s="100"/>
      <c r="I86" s="47" t="s">
        <v>182</v>
      </c>
      <c r="J86" s="2"/>
      <c r="K86" s="2"/>
      <c r="L86" s="2"/>
      <c r="M86" s="2"/>
      <c r="N86" s="2"/>
      <c r="O86" s="2"/>
    </row>
    <row r="87" spans="1:15" ht="12.75">
      <c r="A87" s="1"/>
      <c r="B87" s="60"/>
      <c r="C87" s="49"/>
      <c r="D87" s="4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1"/>
      <c r="B88" s="60"/>
      <c r="C88" s="49"/>
      <c r="D88" s="4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.75" thickBot="1">
      <c r="A89" s="1"/>
      <c r="B89" s="23" t="s">
        <v>177</v>
      </c>
      <c r="C89" s="49"/>
      <c r="D89" s="4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24.75" customHeight="1">
      <c r="A90" s="1"/>
      <c r="B90" s="369" t="s">
        <v>16</v>
      </c>
      <c r="C90" s="351"/>
      <c r="D90" s="351"/>
      <c r="E90" s="351" t="s">
        <v>5</v>
      </c>
      <c r="F90" s="351"/>
      <c r="G90" s="351"/>
      <c r="H90" s="351" t="s">
        <v>164</v>
      </c>
      <c r="I90" s="351"/>
      <c r="J90" s="353" t="s">
        <v>165</v>
      </c>
      <c r="K90" s="354"/>
      <c r="L90" s="2"/>
      <c r="M90" s="2"/>
      <c r="N90" s="2"/>
      <c r="O90" s="2"/>
    </row>
    <row r="91" spans="1:15" ht="12.75">
      <c r="A91" s="1"/>
      <c r="B91" s="333" t="s">
        <v>6</v>
      </c>
      <c r="C91" s="334"/>
      <c r="D91" s="334"/>
      <c r="E91" s="335"/>
      <c r="F91" s="335"/>
      <c r="G91" s="335"/>
      <c r="H91" s="336"/>
      <c r="I91" s="336"/>
      <c r="J91" s="336"/>
      <c r="K91" s="337"/>
      <c r="L91" s="2"/>
      <c r="M91" s="2"/>
      <c r="N91" s="2"/>
      <c r="O91" s="2"/>
    </row>
    <row r="92" spans="1:15" ht="12.75">
      <c r="A92" s="1"/>
      <c r="B92" s="333" t="s">
        <v>17</v>
      </c>
      <c r="C92" s="334"/>
      <c r="D92" s="334"/>
      <c r="E92" s="335"/>
      <c r="F92" s="335"/>
      <c r="G92" s="335"/>
      <c r="H92" s="336"/>
      <c r="I92" s="336"/>
      <c r="J92" s="336"/>
      <c r="K92" s="337"/>
      <c r="L92" s="2"/>
      <c r="M92" s="2"/>
      <c r="N92" s="2"/>
      <c r="O92" s="2"/>
    </row>
    <row r="93" spans="1:15" ht="12.75">
      <c r="A93" s="1"/>
      <c r="B93" s="333" t="s">
        <v>263</v>
      </c>
      <c r="C93" s="334"/>
      <c r="D93" s="334"/>
      <c r="E93" s="335"/>
      <c r="F93" s="335"/>
      <c r="G93" s="335"/>
      <c r="H93" s="336"/>
      <c r="I93" s="336"/>
      <c r="J93" s="336"/>
      <c r="K93" s="337"/>
      <c r="L93" s="2"/>
      <c r="M93" s="2"/>
      <c r="N93" s="2"/>
      <c r="O93" s="2"/>
    </row>
    <row r="94" spans="1:15" ht="12.75">
      <c r="A94" s="1"/>
      <c r="B94" s="333" t="s">
        <v>7</v>
      </c>
      <c r="C94" s="334"/>
      <c r="D94" s="334"/>
      <c r="E94" s="335"/>
      <c r="F94" s="335"/>
      <c r="G94" s="335"/>
      <c r="H94" s="336"/>
      <c r="I94" s="336"/>
      <c r="J94" s="336"/>
      <c r="K94" s="337"/>
      <c r="L94" s="2"/>
      <c r="M94" s="2"/>
      <c r="N94" s="2"/>
      <c r="O94" s="2"/>
    </row>
    <row r="95" spans="1:15" ht="12.75">
      <c r="A95" s="1"/>
      <c r="B95" s="333" t="s">
        <v>18</v>
      </c>
      <c r="C95" s="334"/>
      <c r="D95" s="334"/>
      <c r="E95" s="335"/>
      <c r="F95" s="335"/>
      <c r="G95" s="335"/>
      <c r="H95" s="336"/>
      <c r="I95" s="336"/>
      <c r="J95" s="336"/>
      <c r="K95" s="337"/>
      <c r="L95" s="2"/>
      <c r="M95" s="2"/>
      <c r="N95" s="2"/>
      <c r="O95" s="2"/>
    </row>
    <row r="96" spans="1:15" ht="12.75">
      <c r="A96" s="1"/>
      <c r="B96" s="333" t="s">
        <v>235</v>
      </c>
      <c r="C96" s="334"/>
      <c r="D96" s="334"/>
      <c r="E96" s="335"/>
      <c r="F96" s="335"/>
      <c r="G96" s="335"/>
      <c r="H96" s="336"/>
      <c r="I96" s="336"/>
      <c r="J96" s="336"/>
      <c r="K96" s="337"/>
      <c r="L96" s="2"/>
      <c r="M96" s="2"/>
      <c r="N96" s="2"/>
      <c r="O96" s="2"/>
    </row>
    <row r="97" spans="1:15" ht="13.5" thickBot="1">
      <c r="A97" s="1"/>
      <c r="B97" s="328" t="s">
        <v>19</v>
      </c>
      <c r="C97" s="329"/>
      <c r="D97" s="329"/>
      <c r="E97" s="330"/>
      <c r="F97" s="330"/>
      <c r="G97" s="330"/>
      <c r="H97" s="331"/>
      <c r="I97" s="331"/>
      <c r="J97" s="331"/>
      <c r="K97" s="332"/>
      <c r="L97" s="2"/>
      <c r="M97" s="2"/>
      <c r="N97" s="2"/>
      <c r="O97" s="2"/>
    </row>
    <row r="98" spans="1:15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1"/>
      <c r="B101" s="58" t="s">
        <v>183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1"/>
      <c r="B103" s="106" t="s">
        <v>167</v>
      </c>
      <c r="C103" s="2"/>
      <c r="D103" s="2"/>
      <c r="E103" s="2"/>
      <c r="F103" s="126" t="s">
        <v>185</v>
      </c>
      <c r="G103" s="127" t="s">
        <v>186</v>
      </c>
      <c r="I103" s="2"/>
      <c r="J103" s="2"/>
      <c r="K103" s="2"/>
      <c r="L103" s="2"/>
      <c r="M103" s="2"/>
      <c r="N103" s="2"/>
      <c r="O103" s="2"/>
    </row>
    <row r="104" spans="1:15" ht="12.75">
      <c r="A104" s="1"/>
      <c r="B104" s="10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1"/>
      <c r="B106" s="106" t="s">
        <v>236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1"/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"/>
      <c r="O107" s="2"/>
    </row>
    <row r="108" spans="1:15" ht="12.75">
      <c r="A108" s="1"/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"/>
      <c r="O108" s="2"/>
    </row>
    <row r="109" spans="1:15" ht="12.75">
      <c r="A109" s="1"/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"/>
      <c r="O109" s="2"/>
    </row>
    <row r="110" spans="1:15" ht="12.75">
      <c r="A110" s="1"/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"/>
      <c r="O110" s="2"/>
    </row>
    <row r="111" spans="1:15" ht="12.75">
      <c r="A111" s="1"/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"/>
      <c r="O111" s="2"/>
    </row>
    <row r="112" spans="1:15" ht="12.75">
      <c r="A112" s="1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2"/>
      <c r="O112" s="2"/>
    </row>
    <row r="113" spans="1:15" ht="12.75">
      <c r="A113" s="1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2"/>
      <c r="O113" s="2"/>
    </row>
    <row r="114" spans="1:15" ht="12.75">
      <c r="A114" s="1"/>
      <c r="B114" s="106" t="s">
        <v>237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1"/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"/>
      <c r="O115" s="2"/>
    </row>
    <row r="116" spans="1:15" ht="12.75">
      <c r="A116" s="1"/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"/>
      <c r="O116" s="2"/>
    </row>
    <row r="117" spans="1:15" ht="12.75">
      <c r="A117" s="1"/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"/>
      <c r="O117" s="2"/>
    </row>
    <row r="118" spans="1:15" ht="12.75">
      <c r="A118" s="1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"/>
      <c r="O118" s="2"/>
    </row>
    <row r="119" spans="1:15" ht="12.75">
      <c r="A119" s="1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"/>
      <c r="O119" s="2"/>
    </row>
    <row r="120" spans="1:15" ht="12.75">
      <c r="A120" s="1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2"/>
      <c r="O120" s="2"/>
    </row>
    <row r="121" spans="1:15" ht="12.75">
      <c r="A121" s="1"/>
      <c r="B121" s="106" t="s">
        <v>238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1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"/>
      <c r="O122" s="2"/>
    </row>
    <row r="123" spans="1:15" ht="12.75">
      <c r="A123" s="1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"/>
      <c r="O123" s="2"/>
    </row>
    <row r="124" spans="1:15" ht="12.75">
      <c r="A124" s="1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"/>
      <c r="O124" s="2"/>
    </row>
    <row r="125" spans="1:15" ht="12.75">
      <c r="A125" s="1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"/>
      <c r="O125" s="2"/>
    </row>
    <row r="126" spans="1:15" ht="12.75">
      <c r="A126" s="1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"/>
      <c r="O126" s="2"/>
    </row>
    <row r="127" spans="1:15" ht="13.5" thickBot="1">
      <c r="A127" s="1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2"/>
      <c r="O127" s="2"/>
    </row>
    <row r="128" spans="1:15" ht="13.5" thickBot="1">
      <c r="A128" s="1"/>
      <c r="B128" s="107" t="s">
        <v>168</v>
      </c>
      <c r="C128" s="98"/>
      <c r="D128" s="98"/>
      <c r="E128" s="98"/>
      <c r="F128" s="295"/>
      <c r="G128" s="296"/>
      <c r="H128" s="176" t="s">
        <v>187</v>
      </c>
      <c r="I128" s="98"/>
      <c r="J128" s="98"/>
      <c r="K128" s="98"/>
      <c r="L128" s="98"/>
      <c r="M128" s="98"/>
      <c r="N128" s="2"/>
      <c r="O128" s="2"/>
    </row>
    <row r="129" spans="1:15" ht="13.5" thickBot="1">
      <c r="A129" s="1"/>
      <c r="B129" s="107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2"/>
      <c r="O129" s="2"/>
    </row>
    <row r="130" spans="1:15" ht="13.5" thickBot="1">
      <c r="A130" s="1"/>
      <c r="B130" s="107" t="s">
        <v>169</v>
      </c>
      <c r="C130" s="98"/>
      <c r="D130" s="98"/>
      <c r="E130" s="98"/>
      <c r="F130" s="295"/>
      <c r="G130" s="296"/>
      <c r="H130" s="477" t="s">
        <v>239</v>
      </c>
      <c r="I130" s="478"/>
      <c r="J130" s="478"/>
      <c r="K130" s="98"/>
      <c r="L130" s="98"/>
      <c r="M130" s="98"/>
      <c r="N130" s="2"/>
      <c r="O130" s="2"/>
    </row>
    <row r="131" spans="1:15" ht="13.5" thickBot="1">
      <c r="A131" s="1"/>
      <c r="B131" s="107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2"/>
      <c r="O131" s="2"/>
    </row>
    <row r="132" spans="1:15" ht="13.5" thickBot="1">
      <c r="A132" s="1"/>
      <c r="B132" s="107" t="s">
        <v>170</v>
      </c>
      <c r="C132" s="98"/>
      <c r="D132" s="98"/>
      <c r="E132" s="98"/>
      <c r="F132" s="295"/>
      <c r="G132" s="296"/>
      <c r="H132" s="176" t="s">
        <v>240</v>
      </c>
      <c r="I132" s="98"/>
      <c r="J132" s="98"/>
      <c r="K132" s="98"/>
      <c r="L132" s="98"/>
      <c r="M132" s="98"/>
      <c r="N132" s="2"/>
      <c r="O132" s="2"/>
    </row>
    <row r="133" spans="1:15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.75" thickBot="1">
      <c r="A134" s="1"/>
      <c r="B134" s="363" t="s">
        <v>75</v>
      </c>
      <c r="C134" s="363"/>
      <c r="D134" s="363"/>
      <c r="E134" s="363"/>
      <c r="F134" s="363"/>
      <c r="G134" s="2"/>
      <c r="H134" s="2"/>
      <c r="I134" s="2"/>
      <c r="J134" s="2"/>
      <c r="K134" s="2"/>
      <c r="L134" s="2"/>
      <c r="M134" s="2"/>
      <c r="N134" s="2"/>
      <c r="O134" s="2"/>
    </row>
    <row r="135" spans="1:13" ht="13.5" thickBot="1">
      <c r="A135" s="1"/>
      <c r="B135" s="364" t="s">
        <v>68</v>
      </c>
      <c r="C135" s="365"/>
      <c r="D135" s="366" t="s">
        <v>20</v>
      </c>
      <c r="E135" s="367"/>
      <c r="F135" s="367"/>
      <c r="G135" s="367"/>
      <c r="H135" s="367"/>
      <c r="I135" s="367"/>
      <c r="J135" s="367"/>
      <c r="K135" s="367"/>
      <c r="L135" s="368"/>
      <c r="M135" s="2"/>
    </row>
    <row r="136" spans="1:13" ht="33.75">
      <c r="A136" s="1"/>
      <c r="B136" s="361"/>
      <c r="C136" s="362"/>
      <c r="D136" s="86" t="s">
        <v>23</v>
      </c>
      <c r="E136" s="86" t="s">
        <v>24</v>
      </c>
      <c r="F136" s="86" t="s">
        <v>25</v>
      </c>
      <c r="G136" s="86" t="s">
        <v>241</v>
      </c>
      <c r="H136" s="86" t="s">
        <v>242</v>
      </c>
      <c r="I136" s="86" t="s">
        <v>26</v>
      </c>
      <c r="J136" s="87" t="s">
        <v>50</v>
      </c>
      <c r="K136" s="485" t="s">
        <v>121</v>
      </c>
      <c r="L136" s="485" t="s">
        <v>171</v>
      </c>
      <c r="M136" s="2"/>
    </row>
    <row r="137" spans="1:13" ht="12.75">
      <c r="A137" s="1"/>
      <c r="B137" s="357" t="s">
        <v>119</v>
      </c>
      <c r="C137" s="358"/>
      <c r="D137" s="33"/>
      <c r="E137" s="33"/>
      <c r="F137" s="33"/>
      <c r="G137" s="33"/>
      <c r="H137" s="33"/>
      <c r="I137" s="33"/>
      <c r="J137" s="157">
        <f>SUM(D137:I137)</f>
        <v>0</v>
      </c>
      <c r="K137" s="486"/>
      <c r="L137" s="486"/>
      <c r="M137" s="2"/>
    </row>
    <row r="138" spans="1:13" ht="13.5" thickBot="1">
      <c r="A138" s="1"/>
      <c r="B138" s="357" t="s">
        <v>120</v>
      </c>
      <c r="C138" s="358"/>
      <c r="D138" s="111"/>
      <c r="E138" s="111"/>
      <c r="F138" s="111"/>
      <c r="G138" s="111"/>
      <c r="H138" s="111"/>
      <c r="I138" s="111"/>
      <c r="J138" s="157">
        <f>SUM(D138:I138)</f>
        <v>0</v>
      </c>
      <c r="K138" s="487"/>
      <c r="L138" s="487"/>
      <c r="M138" s="2"/>
    </row>
    <row r="139" spans="1:13" ht="13.5" thickBot="1">
      <c r="A139" s="1"/>
      <c r="B139" s="359" t="s">
        <v>21</v>
      </c>
      <c r="C139" s="360"/>
      <c r="D139" s="159">
        <f aca="true" t="shared" si="0" ref="D139:I139">SUM(D137:D138)</f>
        <v>0</v>
      </c>
      <c r="E139" s="159">
        <f t="shared" si="0"/>
        <v>0</v>
      </c>
      <c r="F139" s="159">
        <f t="shared" si="0"/>
        <v>0</v>
      </c>
      <c r="G139" s="159">
        <f t="shared" si="0"/>
        <v>0</v>
      </c>
      <c r="H139" s="159">
        <f t="shared" si="0"/>
        <v>0</v>
      </c>
      <c r="I139" s="159">
        <f t="shared" si="0"/>
        <v>0</v>
      </c>
      <c r="J139" s="160">
        <f>SUM(D139:I139)</f>
        <v>0</v>
      </c>
      <c r="K139" s="108"/>
      <c r="L139" s="109"/>
      <c r="M139" s="2"/>
    </row>
    <row r="140" spans="1:15" ht="12.75">
      <c r="A140" s="1"/>
      <c r="B140" s="5"/>
      <c r="C140" s="5"/>
      <c r="D140" s="5"/>
      <c r="E140" s="8"/>
      <c r="F140" s="8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1"/>
      <c r="B141" s="5"/>
      <c r="C141" s="5"/>
      <c r="D141" s="5"/>
      <c r="E141" s="8"/>
      <c r="F141" s="8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.75" thickBot="1">
      <c r="A142" s="1"/>
      <c r="B142" s="62" t="s">
        <v>188</v>
      </c>
      <c r="C142" s="5"/>
      <c r="D142" s="5"/>
      <c r="E142" s="8"/>
      <c r="F142" s="8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48" customHeight="1">
      <c r="A143" s="1"/>
      <c r="B143" s="314" t="s">
        <v>27</v>
      </c>
      <c r="C143" s="418"/>
      <c r="D143" s="292"/>
      <c r="E143" s="291" t="s">
        <v>266</v>
      </c>
      <c r="F143" s="418"/>
      <c r="G143" s="418"/>
      <c r="H143" s="418"/>
      <c r="I143" s="292"/>
      <c r="J143" s="291" t="s">
        <v>68</v>
      </c>
      <c r="K143" s="292"/>
      <c r="L143" s="355" t="s">
        <v>267</v>
      </c>
      <c r="M143" s="355"/>
      <c r="N143" s="82" t="s">
        <v>275</v>
      </c>
      <c r="O143" s="2"/>
    </row>
    <row r="144" spans="1:15" ht="12.75">
      <c r="A144" s="1"/>
      <c r="B144" s="509"/>
      <c r="C144" s="252"/>
      <c r="D144" s="252"/>
      <c r="E144" s="252"/>
      <c r="F144" s="252"/>
      <c r="G144" s="252"/>
      <c r="H144" s="252"/>
      <c r="I144" s="252"/>
      <c r="J144" s="504"/>
      <c r="K144" s="504"/>
      <c r="L144" s="335"/>
      <c r="M144" s="335"/>
      <c r="N144" s="18"/>
      <c r="O144" s="2"/>
    </row>
    <row r="145" spans="1:15" ht="12.75">
      <c r="A145" s="1"/>
      <c r="B145" s="474"/>
      <c r="C145" s="475"/>
      <c r="D145" s="399"/>
      <c r="E145" s="252"/>
      <c r="F145" s="252"/>
      <c r="G145" s="252"/>
      <c r="H145" s="252"/>
      <c r="I145" s="252"/>
      <c r="J145" s="504"/>
      <c r="K145" s="504"/>
      <c r="L145" s="335"/>
      <c r="M145" s="335"/>
      <c r="N145" s="19"/>
      <c r="O145" s="2"/>
    </row>
    <row r="146" spans="1:15" ht="13.5" thickBot="1">
      <c r="A146" s="1"/>
      <c r="B146" s="470"/>
      <c r="C146" s="471"/>
      <c r="D146" s="472"/>
      <c r="E146" s="503"/>
      <c r="F146" s="503"/>
      <c r="G146" s="503"/>
      <c r="H146" s="503"/>
      <c r="I146" s="503"/>
      <c r="J146" s="505"/>
      <c r="K146" s="505"/>
      <c r="L146" s="401"/>
      <c r="M146" s="401"/>
      <c r="N146" s="83"/>
      <c r="O146" s="2"/>
    </row>
    <row r="147" spans="1:15" ht="13.5" thickBot="1">
      <c r="A147" s="1"/>
      <c r="B147" s="510" t="s">
        <v>29</v>
      </c>
      <c r="C147" s="511"/>
      <c r="D147" s="511"/>
      <c r="E147" s="519"/>
      <c r="F147" s="519"/>
      <c r="G147" s="519"/>
      <c r="H147" s="519"/>
      <c r="I147" s="519"/>
      <c r="J147" s="519"/>
      <c r="K147" s="519"/>
      <c r="L147" s="519"/>
      <c r="M147" s="519"/>
      <c r="N147" s="520"/>
      <c r="O147" s="2"/>
    </row>
    <row r="148" spans="1:15" ht="12.75">
      <c r="A148" s="1"/>
      <c r="B148" s="2"/>
      <c r="C148" s="2"/>
      <c r="D148" s="2"/>
      <c r="E148" s="2"/>
      <c r="F148" s="2"/>
      <c r="G148" s="2"/>
      <c r="H148" s="2"/>
      <c r="I148" s="78"/>
      <c r="J148" s="78"/>
      <c r="K148" s="78"/>
      <c r="L148" s="78"/>
      <c r="M148" s="78"/>
      <c r="N148" s="78"/>
      <c r="O148" s="2"/>
    </row>
    <row r="149" spans="1:15" ht="13.5">
      <c r="A149" s="1"/>
      <c r="B149" s="7"/>
      <c r="C149" s="15"/>
      <c r="D149" s="11"/>
      <c r="E149" s="374"/>
      <c r="F149" s="374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.75" thickBot="1">
      <c r="A150" s="1"/>
      <c r="B150" s="363" t="s">
        <v>76</v>
      </c>
      <c r="C150" s="363"/>
      <c r="D150" s="363"/>
      <c r="E150" s="363"/>
      <c r="F150" s="363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26.25" customHeight="1">
      <c r="A151" s="1"/>
      <c r="B151" s="378" t="s">
        <v>30</v>
      </c>
      <c r="C151" s="379"/>
      <c r="D151" s="379"/>
      <c r="E151" s="379"/>
      <c r="F151" s="376" t="s">
        <v>264</v>
      </c>
      <c r="G151" s="376"/>
      <c r="H151" s="376"/>
      <c r="I151" s="372" t="s">
        <v>265</v>
      </c>
      <c r="J151" s="372"/>
      <c r="K151" s="372"/>
      <c r="L151" s="372" t="s">
        <v>31</v>
      </c>
      <c r="M151" s="372"/>
      <c r="N151" s="375"/>
      <c r="O151" s="2"/>
    </row>
    <row r="152" spans="1:15" ht="12.75" customHeight="1">
      <c r="A152" s="1"/>
      <c r="B152" s="479" t="s">
        <v>243</v>
      </c>
      <c r="C152" s="480"/>
      <c r="D152" s="480"/>
      <c r="E152" s="481"/>
      <c r="F152" s="506"/>
      <c r="G152" s="507"/>
      <c r="H152" s="508"/>
      <c r="I152" s="512"/>
      <c r="J152" s="513"/>
      <c r="K152" s="514"/>
      <c r="L152" s="482"/>
      <c r="M152" s="483"/>
      <c r="N152" s="484"/>
      <c r="O152" s="2"/>
    </row>
    <row r="153" spans="1:15" ht="12.75">
      <c r="A153" s="1"/>
      <c r="B153" s="382" t="s">
        <v>247</v>
      </c>
      <c r="C153" s="383"/>
      <c r="D153" s="383"/>
      <c r="E153" s="384"/>
      <c r="F153" s="377"/>
      <c r="G153" s="377"/>
      <c r="H153" s="377"/>
      <c r="I153" s="373"/>
      <c r="J153" s="373"/>
      <c r="K153" s="373"/>
      <c r="L153" s="370">
        <f>F153*I153</f>
        <v>0</v>
      </c>
      <c r="M153" s="370"/>
      <c r="N153" s="371"/>
      <c r="O153" s="2"/>
    </row>
    <row r="154" spans="1:15" ht="12.75">
      <c r="A154" s="1"/>
      <c r="B154" s="382" t="s">
        <v>248</v>
      </c>
      <c r="C154" s="383"/>
      <c r="D154" s="383"/>
      <c r="E154" s="384"/>
      <c r="F154" s="391"/>
      <c r="G154" s="392"/>
      <c r="H154" s="393"/>
      <c r="I154" s="523"/>
      <c r="J154" s="524"/>
      <c r="K154" s="525"/>
      <c r="L154" s="370">
        <f>F154*I154</f>
        <v>0</v>
      </c>
      <c r="M154" s="370"/>
      <c r="N154" s="371"/>
      <c r="O154" s="2"/>
    </row>
    <row r="155" spans="1:15" ht="12.75">
      <c r="A155" s="1"/>
      <c r="B155" s="382" t="s">
        <v>249</v>
      </c>
      <c r="C155" s="383"/>
      <c r="D155" s="383"/>
      <c r="E155" s="384"/>
      <c r="F155" s="391"/>
      <c r="G155" s="392"/>
      <c r="H155" s="393"/>
      <c r="I155" s="523"/>
      <c r="J155" s="524"/>
      <c r="K155" s="525"/>
      <c r="L155" s="370">
        <f>F155*I155</f>
        <v>0</v>
      </c>
      <c r="M155" s="370"/>
      <c r="N155" s="371"/>
      <c r="O155" s="2"/>
    </row>
    <row r="156" spans="1:15" ht="12.75">
      <c r="A156" s="1"/>
      <c r="B156" s="515" t="s">
        <v>244</v>
      </c>
      <c r="C156" s="516"/>
      <c r="D156" s="516"/>
      <c r="E156" s="517"/>
      <c r="F156" s="385"/>
      <c r="G156" s="386"/>
      <c r="H156" s="387"/>
      <c r="I156" s="385"/>
      <c r="J156" s="386"/>
      <c r="K156" s="387"/>
      <c r="L156" s="286"/>
      <c r="M156" s="521"/>
      <c r="N156" s="522"/>
      <c r="O156" s="2"/>
    </row>
    <row r="157" spans="1:15" ht="12.75">
      <c r="A157" s="1"/>
      <c r="B157" s="382" t="s">
        <v>338</v>
      </c>
      <c r="C157" s="383"/>
      <c r="D157" s="383"/>
      <c r="E157" s="384"/>
      <c r="F157" s="391"/>
      <c r="G157" s="392"/>
      <c r="H157" s="393"/>
      <c r="I157" s="526"/>
      <c r="J157" s="527"/>
      <c r="K157" s="528"/>
      <c r="L157" s="370">
        <f>F157*I157</f>
        <v>0</v>
      </c>
      <c r="M157" s="370"/>
      <c r="N157" s="371"/>
      <c r="O157" s="2"/>
    </row>
    <row r="158" spans="1:15" ht="12.75">
      <c r="A158" s="1"/>
      <c r="B158" s="382" t="s">
        <v>339</v>
      </c>
      <c r="C158" s="383"/>
      <c r="D158" s="383"/>
      <c r="E158" s="384"/>
      <c r="F158" s="391"/>
      <c r="G158" s="392"/>
      <c r="H158" s="393"/>
      <c r="I158" s="526"/>
      <c r="J158" s="527"/>
      <c r="K158" s="528"/>
      <c r="L158" s="370">
        <f>F158*I158</f>
        <v>0</v>
      </c>
      <c r="M158" s="370"/>
      <c r="N158" s="371"/>
      <c r="O158" s="2"/>
    </row>
    <row r="159" spans="1:15" ht="12.75">
      <c r="A159" s="1"/>
      <c r="B159" s="382" t="s">
        <v>250</v>
      </c>
      <c r="C159" s="383"/>
      <c r="D159" s="383"/>
      <c r="E159" s="384"/>
      <c r="F159" s="391"/>
      <c r="G159" s="392"/>
      <c r="H159" s="393"/>
      <c r="I159" s="526"/>
      <c r="J159" s="527"/>
      <c r="K159" s="528"/>
      <c r="L159" s="370">
        <f>F159*I159</f>
        <v>0</v>
      </c>
      <c r="M159" s="370"/>
      <c r="N159" s="371"/>
      <c r="O159" s="2"/>
    </row>
    <row r="160" spans="1:15" ht="12.75">
      <c r="A160" s="1"/>
      <c r="B160" s="515" t="s">
        <v>245</v>
      </c>
      <c r="C160" s="516"/>
      <c r="D160" s="516"/>
      <c r="E160" s="517"/>
      <c r="F160" s="385"/>
      <c r="G160" s="386"/>
      <c r="H160" s="387"/>
      <c r="I160" s="385"/>
      <c r="J160" s="386"/>
      <c r="K160" s="387"/>
      <c r="L160" s="286"/>
      <c r="M160" s="521"/>
      <c r="N160" s="522"/>
      <c r="O160" s="2"/>
    </row>
    <row r="161" spans="1:15" ht="12.75">
      <c r="A161" s="1"/>
      <c r="B161" s="382" t="s">
        <v>251</v>
      </c>
      <c r="C161" s="383"/>
      <c r="D161" s="383"/>
      <c r="E161" s="384"/>
      <c r="F161" s="391"/>
      <c r="G161" s="392"/>
      <c r="H161" s="393"/>
      <c r="I161" s="526"/>
      <c r="J161" s="527"/>
      <c r="K161" s="528"/>
      <c r="L161" s="370">
        <f>F161*I161</f>
        <v>0</v>
      </c>
      <c r="M161" s="370"/>
      <c r="N161" s="371"/>
      <c r="O161" s="2"/>
    </row>
    <row r="162" spans="1:15" ht="12.75">
      <c r="A162" s="1"/>
      <c r="B162" s="382" t="s">
        <v>252</v>
      </c>
      <c r="C162" s="383"/>
      <c r="D162" s="383"/>
      <c r="E162" s="384"/>
      <c r="F162" s="391"/>
      <c r="G162" s="392"/>
      <c r="H162" s="393"/>
      <c r="I162" s="526"/>
      <c r="J162" s="527"/>
      <c r="K162" s="528"/>
      <c r="L162" s="370">
        <f>F162*I162</f>
        <v>0</v>
      </c>
      <c r="M162" s="370"/>
      <c r="N162" s="371"/>
      <c r="O162" s="2"/>
    </row>
    <row r="163" spans="1:15" ht="12.75">
      <c r="A163" s="1"/>
      <c r="B163" s="380" t="s">
        <v>209</v>
      </c>
      <c r="C163" s="381"/>
      <c r="D163" s="381"/>
      <c r="E163" s="381"/>
      <c r="F163" s="385"/>
      <c r="G163" s="386"/>
      <c r="H163" s="387"/>
      <c r="I163" s="385"/>
      <c r="J163" s="386"/>
      <c r="K163" s="387"/>
      <c r="L163" s="286"/>
      <c r="M163" s="521"/>
      <c r="N163" s="522"/>
      <c r="O163" s="2"/>
    </row>
    <row r="164" spans="1:15" ht="12.75">
      <c r="A164" s="1"/>
      <c r="B164" s="382" t="s">
        <v>340</v>
      </c>
      <c r="C164" s="383"/>
      <c r="D164" s="383"/>
      <c r="E164" s="384"/>
      <c r="F164" s="377"/>
      <c r="G164" s="377"/>
      <c r="H164" s="377"/>
      <c r="I164" s="373"/>
      <c r="J164" s="373"/>
      <c r="K164" s="373"/>
      <c r="L164" s="370">
        <f>F164*I164</f>
        <v>0</v>
      </c>
      <c r="M164" s="370"/>
      <c r="N164" s="371"/>
      <c r="O164" s="2"/>
    </row>
    <row r="165" spans="1:15" ht="12.75">
      <c r="A165" s="1"/>
      <c r="B165" s="395" t="s">
        <v>337</v>
      </c>
      <c r="C165" s="396"/>
      <c r="D165" s="396"/>
      <c r="E165" s="397"/>
      <c r="F165" s="391"/>
      <c r="G165" s="392"/>
      <c r="H165" s="393"/>
      <c r="I165" s="390"/>
      <c r="J165" s="390"/>
      <c r="K165" s="390"/>
      <c r="L165" s="388">
        <f>F165*I165</f>
        <v>0</v>
      </c>
      <c r="M165" s="388"/>
      <c r="N165" s="389"/>
      <c r="O165" s="2"/>
    </row>
    <row r="166" spans="1:15" ht="12.75">
      <c r="A166" s="2"/>
      <c r="B166" s="395" t="s">
        <v>274</v>
      </c>
      <c r="C166" s="396"/>
      <c r="D166" s="396"/>
      <c r="E166" s="397"/>
      <c r="F166" s="466"/>
      <c r="G166" s="466"/>
      <c r="H166" s="466"/>
      <c r="I166" s="390"/>
      <c r="J166" s="390"/>
      <c r="K166" s="390"/>
      <c r="L166" s="388">
        <f>F166*I166</f>
        <v>0</v>
      </c>
      <c r="M166" s="388"/>
      <c r="N166" s="389"/>
      <c r="O166" s="2"/>
    </row>
    <row r="167" spans="1:15" ht="13.5" thickBot="1">
      <c r="A167" s="2"/>
      <c r="B167" s="531" t="s">
        <v>335</v>
      </c>
      <c r="C167" s="532"/>
      <c r="D167" s="532"/>
      <c r="E167" s="533"/>
      <c r="F167" s="394"/>
      <c r="G167" s="394"/>
      <c r="H167" s="394"/>
      <c r="I167" s="402"/>
      <c r="J167" s="402"/>
      <c r="K167" s="402"/>
      <c r="L167" s="403">
        <f>F167*I167</f>
        <v>0</v>
      </c>
      <c r="M167" s="403"/>
      <c r="N167" s="404"/>
      <c r="O167" s="2"/>
    </row>
    <row r="168" spans="1:15" ht="12.75">
      <c r="A168" s="2"/>
      <c r="B168" s="5"/>
      <c r="C168" s="5"/>
      <c r="D168" s="5"/>
      <c r="E168" s="352"/>
      <c r="F168" s="352"/>
      <c r="G168" s="2"/>
      <c r="H168" s="2"/>
      <c r="I168" s="2"/>
      <c r="J168" s="2"/>
      <c r="K168" s="2"/>
      <c r="L168" s="2"/>
      <c r="M168" s="2"/>
      <c r="N168" s="2"/>
      <c r="O168" s="2"/>
    </row>
    <row r="169" spans="2:6" ht="15.75" thickBot="1">
      <c r="B169" s="343" t="s">
        <v>77</v>
      </c>
      <c r="C169" s="343"/>
      <c r="D169" s="343"/>
      <c r="E169" s="343"/>
      <c r="F169" s="343"/>
    </row>
    <row r="170" spans="2:14" ht="51" customHeight="1">
      <c r="B170" s="400" t="s">
        <v>30</v>
      </c>
      <c r="C170" s="372"/>
      <c r="D170" s="376" t="s">
        <v>37</v>
      </c>
      <c r="E170" s="376"/>
      <c r="F170" s="376" t="s">
        <v>32</v>
      </c>
      <c r="G170" s="376"/>
      <c r="H170" s="84" t="s">
        <v>33</v>
      </c>
      <c r="I170" s="372" t="s">
        <v>34</v>
      </c>
      <c r="J170" s="372"/>
      <c r="K170" s="372"/>
      <c r="L170" s="376" t="s">
        <v>35</v>
      </c>
      <c r="M170" s="376"/>
      <c r="N170" s="85" t="s">
        <v>36</v>
      </c>
    </row>
    <row r="171" spans="2:14" ht="12.75">
      <c r="B171" s="459" t="str">
        <f>T(serv1)</f>
        <v>   Atención Prenatal</v>
      </c>
      <c r="C171" s="460"/>
      <c r="D171" s="398"/>
      <c r="E171" s="399"/>
      <c r="F171" s="398"/>
      <c r="G171" s="399"/>
      <c r="H171" s="20"/>
      <c r="I171" s="335"/>
      <c r="J171" s="335"/>
      <c r="K171" s="335"/>
      <c r="L171" s="406">
        <f>D171*H171</f>
        <v>0</v>
      </c>
      <c r="M171" s="406"/>
      <c r="N171" s="99"/>
    </row>
    <row r="172" spans="2:14" ht="12.75">
      <c r="B172" s="459" t="str">
        <f>T(serv2)</f>
        <v>   Atención de Parto</v>
      </c>
      <c r="C172" s="460"/>
      <c r="D172" s="398"/>
      <c r="E172" s="399"/>
      <c r="F172" s="398"/>
      <c r="G172" s="399"/>
      <c r="H172" s="20"/>
      <c r="I172" s="335"/>
      <c r="J172" s="335"/>
      <c r="K172" s="335"/>
      <c r="L172" s="406">
        <f>D172*H172</f>
        <v>0</v>
      </c>
      <c r="M172" s="406"/>
      <c r="N172" s="99"/>
    </row>
    <row r="173" spans="2:14" ht="12.75">
      <c r="B173" s="459" t="str">
        <f>T(serv3)</f>
        <v>   Atención Post-Parto</v>
      </c>
      <c r="C173" s="460"/>
      <c r="D173" s="398"/>
      <c r="E173" s="399"/>
      <c r="F173" s="398"/>
      <c r="G173" s="399"/>
      <c r="H173" s="20"/>
      <c r="I173" s="335"/>
      <c r="J173" s="335"/>
      <c r="K173" s="335"/>
      <c r="L173" s="406">
        <f>D173*H173</f>
        <v>0</v>
      </c>
      <c r="M173" s="406"/>
      <c r="N173" s="99"/>
    </row>
    <row r="174" spans="2:14" ht="12.75">
      <c r="B174" s="459" t="str">
        <f>T(serv4)</f>
        <v>  Enfermedades Digestivas Agudas (EDA)</v>
      </c>
      <c r="C174" s="460"/>
      <c r="D174" s="398"/>
      <c r="E174" s="399"/>
      <c r="F174" s="476"/>
      <c r="G174" s="472"/>
      <c r="H174" s="141"/>
      <c r="I174" s="401"/>
      <c r="J174" s="401"/>
      <c r="K174" s="401"/>
      <c r="L174" s="405">
        <f>D174*H174</f>
        <v>0</v>
      </c>
      <c r="M174" s="405"/>
      <c r="N174" s="140"/>
    </row>
    <row r="175" spans="2:14" ht="12.75">
      <c r="B175" s="459" t="str">
        <f>T(serv5)</f>
        <v>  Infecciones Respiratorias Agudas (IRA)</v>
      </c>
      <c r="C175" s="460"/>
      <c r="D175" s="398"/>
      <c r="E175" s="399"/>
      <c r="F175" s="476"/>
      <c r="G175" s="472"/>
      <c r="H175" s="141"/>
      <c r="I175" s="401"/>
      <c r="J175" s="401"/>
      <c r="K175" s="401"/>
      <c r="L175" s="405">
        <f>D175*H175</f>
        <v>0</v>
      </c>
      <c r="M175" s="405"/>
      <c r="N175" s="140"/>
    </row>
    <row r="176" spans="2:14" ht="12.75">
      <c r="B176" s="459" t="str">
        <f>T(serv6)</f>
        <v>   Crecimiento y Desarrollo</v>
      </c>
      <c r="C176" s="460"/>
      <c r="D176" s="398"/>
      <c r="E176" s="399"/>
      <c r="F176" s="398"/>
      <c r="G176" s="399"/>
      <c r="H176" s="141"/>
      <c r="I176" s="408"/>
      <c r="J176" s="409"/>
      <c r="K176" s="410"/>
      <c r="L176" s="405">
        <f aca="true" t="shared" si="1" ref="L176:L182">D176*H176</f>
        <v>0</v>
      </c>
      <c r="M176" s="405"/>
      <c r="N176" s="140"/>
    </row>
    <row r="177" spans="2:14" ht="12.75">
      <c r="B177" s="459" t="str">
        <f>T(serv7)</f>
        <v>   Salud Sexual y Reproductiva</v>
      </c>
      <c r="C177" s="460"/>
      <c r="D177" s="398"/>
      <c r="E177" s="399"/>
      <c r="F177" s="398"/>
      <c r="G177" s="399"/>
      <c r="H177" s="141"/>
      <c r="I177" s="408"/>
      <c r="J177" s="409"/>
      <c r="K177" s="410"/>
      <c r="L177" s="405">
        <f t="shared" si="1"/>
        <v>0</v>
      </c>
      <c r="M177" s="405"/>
      <c r="N177" s="140"/>
    </row>
    <row r="178" spans="2:14" ht="12.75">
      <c r="B178" s="459" t="str">
        <f>T(serv8)</f>
        <v>   Tuberculosis</v>
      </c>
      <c r="C178" s="460"/>
      <c r="D178" s="398"/>
      <c r="E178" s="399"/>
      <c r="F178" s="398"/>
      <c r="G178" s="399"/>
      <c r="H178" s="141"/>
      <c r="I178" s="408"/>
      <c r="J178" s="409"/>
      <c r="K178" s="410"/>
      <c r="L178" s="405">
        <f t="shared" si="1"/>
        <v>0</v>
      </c>
      <c r="M178" s="405"/>
      <c r="N178" s="140"/>
    </row>
    <row r="179" spans="2:14" ht="12.75">
      <c r="B179" s="459" t="str">
        <f>T(serv9)</f>
        <v>  Programa Ampliado de Inmunización (PAI)</v>
      </c>
      <c r="C179" s="460"/>
      <c r="D179" s="398"/>
      <c r="E179" s="399"/>
      <c r="F179" s="398"/>
      <c r="G179" s="399"/>
      <c r="H179" s="141"/>
      <c r="I179" s="408"/>
      <c r="J179" s="409"/>
      <c r="K179" s="410"/>
      <c r="L179" s="405">
        <f t="shared" si="1"/>
        <v>0</v>
      </c>
      <c r="M179" s="405"/>
      <c r="N179" s="140"/>
    </row>
    <row r="180" spans="2:14" ht="12.75">
      <c r="B180" s="459" t="str">
        <f>T(serv10)</f>
        <v>Otros Ingresos Seguro Básico de Salud</v>
      </c>
      <c r="C180" s="460"/>
      <c r="D180" s="398"/>
      <c r="E180" s="399"/>
      <c r="F180" s="398"/>
      <c r="G180" s="399"/>
      <c r="H180" s="141"/>
      <c r="I180" s="408"/>
      <c r="J180" s="409"/>
      <c r="K180" s="410"/>
      <c r="L180" s="405">
        <f t="shared" si="1"/>
        <v>0</v>
      </c>
      <c r="M180" s="405"/>
      <c r="N180" s="140"/>
    </row>
    <row r="181" spans="2:14" ht="12.75">
      <c r="B181" s="459" t="str">
        <f>T(serv11)</f>
        <v>Ingresos Propios</v>
      </c>
      <c r="C181" s="460"/>
      <c r="D181" s="398"/>
      <c r="E181" s="399"/>
      <c r="F181" s="398"/>
      <c r="G181" s="399"/>
      <c r="H181" s="141"/>
      <c r="I181" s="408"/>
      <c r="J181" s="409"/>
      <c r="K181" s="410"/>
      <c r="L181" s="405">
        <f t="shared" si="1"/>
        <v>0</v>
      </c>
      <c r="M181" s="405"/>
      <c r="N181" s="140"/>
    </row>
    <row r="182" spans="2:14" ht="13.5" thickBot="1">
      <c r="B182" s="529" t="str">
        <f>T(serv12)</f>
        <v>Otro</v>
      </c>
      <c r="C182" s="530"/>
      <c r="D182" s="535"/>
      <c r="E182" s="536"/>
      <c r="F182" s="535"/>
      <c r="G182" s="536"/>
      <c r="H182" s="21"/>
      <c r="I182" s="537"/>
      <c r="J182" s="538"/>
      <c r="K182" s="539"/>
      <c r="L182" s="540">
        <f t="shared" si="1"/>
        <v>0</v>
      </c>
      <c r="M182" s="540"/>
      <c r="N182" s="100"/>
    </row>
    <row r="183" spans="2:6" ht="12.75">
      <c r="B183" s="5"/>
      <c r="C183" s="5"/>
      <c r="D183" s="5"/>
      <c r="E183" s="352"/>
      <c r="F183" s="352"/>
    </row>
    <row r="184" spans="2:6" ht="15.75" thickBot="1">
      <c r="B184" s="363" t="s">
        <v>78</v>
      </c>
      <c r="C184" s="518"/>
      <c r="D184" s="518"/>
      <c r="E184" s="518"/>
      <c r="F184" s="518"/>
    </row>
    <row r="185" spans="2:14" ht="28.5" customHeight="1">
      <c r="B185" s="400" t="s">
        <v>30</v>
      </c>
      <c r="C185" s="372"/>
      <c r="D185" s="372" t="s">
        <v>268</v>
      </c>
      <c r="E185" s="372"/>
      <c r="F185" s="372"/>
      <c r="G185" s="372" t="s">
        <v>269</v>
      </c>
      <c r="H185" s="372"/>
      <c r="I185" s="372" t="s">
        <v>270</v>
      </c>
      <c r="J185" s="372"/>
      <c r="K185" s="376" t="s">
        <v>271</v>
      </c>
      <c r="L185" s="376"/>
      <c r="M185" s="376" t="s">
        <v>272</v>
      </c>
      <c r="N185" s="407"/>
    </row>
    <row r="186" spans="2:14" ht="12.75" customHeight="1">
      <c r="B186" s="459" t="str">
        <f>T(serv1)</f>
        <v>   Atención Prenatal</v>
      </c>
      <c r="C186" s="460"/>
      <c r="D186" s="350">
        <f>L153</f>
        <v>0</v>
      </c>
      <c r="E186" s="350"/>
      <c r="F186" s="350"/>
      <c r="G186" s="350">
        <f>L171</f>
        <v>0</v>
      </c>
      <c r="H186" s="350"/>
      <c r="I186" s="350">
        <f>N171</f>
        <v>0</v>
      </c>
      <c r="J186" s="350"/>
      <c r="K186" s="338">
        <f>D186-G186</f>
        <v>0</v>
      </c>
      <c r="L186" s="338"/>
      <c r="M186" s="338">
        <f>D186-I186</f>
        <v>0</v>
      </c>
      <c r="N186" s="339"/>
    </row>
    <row r="187" spans="2:14" ht="12.75">
      <c r="B187" s="459" t="str">
        <f>T(serv2)</f>
        <v>   Atención de Parto</v>
      </c>
      <c r="C187" s="460"/>
      <c r="D187" s="350">
        <f>L154</f>
        <v>0</v>
      </c>
      <c r="E187" s="350"/>
      <c r="F187" s="350"/>
      <c r="G187" s="350">
        <f>L172</f>
        <v>0</v>
      </c>
      <c r="H187" s="350"/>
      <c r="I187" s="350">
        <f aca="true" t="shared" si="2" ref="I187:I197">N172</f>
        <v>0</v>
      </c>
      <c r="J187" s="350"/>
      <c r="K187" s="338">
        <f aca="true" t="shared" si="3" ref="K187:K197">D187-G187</f>
        <v>0</v>
      </c>
      <c r="L187" s="338"/>
      <c r="M187" s="338">
        <f aca="true" t="shared" si="4" ref="M187:M197">D187-I187</f>
        <v>0</v>
      </c>
      <c r="N187" s="339"/>
    </row>
    <row r="188" spans="2:14" ht="12.75">
      <c r="B188" s="459" t="str">
        <f>T(serv3)</f>
        <v>   Atención Post-Parto</v>
      </c>
      <c r="C188" s="460"/>
      <c r="D188" s="350">
        <f>L155</f>
        <v>0</v>
      </c>
      <c r="E188" s="350"/>
      <c r="F188" s="350"/>
      <c r="G188" s="350">
        <f aca="true" t="shared" si="5" ref="G188:G197">L173</f>
        <v>0</v>
      </c>
      <c r="H188" s="350"/>
      <c r="I188" s="350">
        <f t="shared" si="2"/>
        <v>0</v>
      </c>
      <c r="J188" s="350"/>
      <c r="K188" s="338">
        <f t="shared" si="3"/>
        <v>0</v>
      </c>
      <c r="L188" s="338"/>
      <c r="M188" s="338">
        <f t="shared" si="4"/>
        <v>0</v>
      </c>
      <c r="N188" s="339"/>
    </row>
    <row r="189" spans="2:14" ht="12.75">
      <c r="B189" s="459" t="str">
        <f>T(serv4)</f>
        <v>  Enfermedades Digestivas Agudas (EDA)</v>
      </c>
      <c r="C189" s="460"/>
      <c r="D189" s="350">
        <f>L157</f>
        <v>0</v>
      </c>
      <c r="E189" s="350"/>
      <c r="F189" s="350"/>
      <c r="G189" s="350">
        <f t="shared" si="5"/>
        <v>0</v>
      </c>
      <c r="H189" s="350"/>
      <c r="I189" s="350">
        <f t="shared" si="2"/>
        <v>0</v>
      </c>
      <c r="J189" s="350"/>
      <c r="K189" s="338">
        <f t="shared" si="3"/>
        <v>0</v>
      </c>
      <c r="L189" s="338"/>
      <c r="M189" s="338">
        <f t="shared" si="4"/>
        <v>0</v>
      </c>
      <c r="N189" s="339"/>
    </row>
    <row r="190" spans="2:14" ht="12.75">
      <c r="B190" s="459" t="str">
        <f>T(serv5)</f>
        <v>  Infecciones Respiratorias Agudas (IRA)</v>
      </c>
      <c r="C190" s="460"/>
      <c r="D190" s="350">
        <f>L158</f>
        <v>0</v>
      </c>
      <c r="E190" s="350"/>
      <c r="F190" s="350"/>
      <c r="G190" s="350">
        <f t="shared" si="5"/>
        <v>0</v>
      </c>
      <c r="H190" s="350"/>
      <c r="I190" s="350">
        <f t="shared" si="2"/>
        <v>0</v>
      </c>
      <c r="J190" s="350"/>
      <c r="K190" s="338">
        <f t="shared" si="3"/>
        <v>0</v>
      </c>
      <c r="L190" s="338"/>
      <c r="M190" s="338">
        <f t="shared" si="4"/>
        <v>0</v>
      </c>
      <c r="N190" s="339"/>
    </row>
    <row r="191" spans="2:14" ht="12.75">
      <c r="B191" s="459" t="str">
        <f>T(serv6)</f>
        <v>   Crecimiento y Desarrollo</v>
      </c>
      <c r="C191" s="460"/>
      <c r="D191" s="350">
        <f>L159</f>
        <v>0</v>
      </c>
      <c r="E191" s="350"/>
      <c r="F191" s="350"/>
      <c r="G191" s="350">
        <f t="shared" si="5"/>
        <v>0</v>
      </c>
      <c r="H191" s="350"/>
      <c r="I191" s="350">
        <f t="shared" si="2"/>
        <v>0</v>
      </c>
      <c r="J191" s="350"/>
      <c r="K191" s="338">
        <f t="shared" si="3"/>
        <v>0</v>
      </c>
      <c r="L191" s="338"/>
      <c r="M191" s="338">
        <f t="shared" si="4"/>
        <v>0</v>
      </c>
      <c r="N191" s="339"/>
    </row>
    <row r="192" spans="2:14" ht="12.75">
      <c r="B192" s="459" t="str">
        <f>T(serv7)</f>
        <v>   Salud Sexual y Reproductiva</v>
      </c>
      <c r="C192" s="460"/>
      <c r="D192" s="350">
        <f>L161</f>
        <v>0</v>
      </c>
      <c r="E192" s="350"/>
      <c r="F192" s="350"/>
      <c r="G192" s="350">
        <f t="shared" si="5"/>
        <v>0</v>
      </c>
      <c r="H192" s="350"/>
      <c r="I192" s="350">
        <f t="shared" si="2"/>
        <v>0</v>
      </c>
      <c r="J192" s="350"/>
      <c r="K192" s="338">
        <f t="shared" si="3"/>
        <v>0</v>
      </c>
      <c r="L192" s="338"/>
      <c r="M192" s="338">
        <f t="shared" si="4"/>
        <v>0</v>
      </c>
      <c r="N192" s="339"/>
    </row>
    <row r="193" spans="2:14" ht="12.75">
      <c r="B193" s="459" t="str">
        <f>T(serv8)</f>
        <v>   Tuberculosis</v>
      </c>
      <c r="C193" s="460"/>
      <c r="D193" s="350">
        <f>L162</f>
        <v>0</v>
      </c>
      <c r="E193" s="350"/>
      <c r="F193" s="350"/>
      <c r="G193" s="350">
        <f t="shared" si="5"/>
        <v>0</v>
      </c>
      <c r="H193" s="350"/>
      <c r="I193" s="350">
        <f t="shared" si="2"/>
        <v>0</v>
      </c>
      <c r="J193" s="350"/>
      <c r="K193" s="338">
        <f t="shared" si="3"/>
        <v>0</v>
      </c>
      <c r="L193" s="338"/>
      <c r="M193" s="338">
        <f t="shared" si="4"/>
        <v>0</v>
      </c>
      <c r="N193" s="339"/>
    </row>
    <row r="194" spans="2:14" ht="12.75">
      <c r="B194" s="459" t="str">
        <f>T(serv9)</f>
        <v>  Programa Ampliado de Inmunización (PAI)</v>
      </c>
      <c r="C194" s="460"/>
      <c r="D194" s="350">
        <f>L164</f>
        <v>0</v>
      </c>
      <c r="E194" s="350"/>
      <c r="F194" s="350"/>
      <c r="G194" s="350">
        <f t="shared" si="5"/>
        <v>0</v>
      </c>
      <c r="H194" s="350"/>
      <c r="I194" s="350">
        <f t="shared" si="2"/>
        <v>0</v>
      </c>
      <c r="J194" s="350"/>
      <c r="K194" s="338">
        <f t="shared" si="3"/>
        <v>0</v>
      </c>
      <c r="L194" s="338"/>
      <c r="M194" s="338">
        <f t="shared" si="4"/>
        <v>0</v>
      </c>
      <c r="N194" s="339"/>
    </row>
    <row r="195" spans="2:14" ht="12.75">
      <c r="B195" s="459" t="str">
        <f>T(serv10)</f>
        <v>Otros Ingresos Seguro Básico de Salud</v>
      </c>
      <c r="C195" s="460"/>
      <c r="D195" s="350">
        <f>L165</f>
        <v>0</v>
      </c>
      <c r="E195" s="350"/>
      <c r="F195" s="350"/>
      <c r="G195" s="350">
        <f t="shared" si="5"/>
        <v>0</v>
      </c>
      <c r="H195" s="350"/>
      <c r="I195" s="350">
        <f t="shared" si="2"/>
        <v>0</v>
      </c>
      <c r="J195" s="350"/>
      <c r="K195" s="338">
        <f t="shared" si="3"/>
        <v>0</v>
      </c>
      <c r="L195" s="338"/>
      <c r="M195" s="338">
        <f t="shared" si="4"/>
        <v>0</v>
      </c>
      <c r="N195" s="339"/>
    </row>
    <row r="196" spans="2:14" ht="12.75">
      <c r="B196" s="459" t="str">
        <f>T(serv11)</f>
        <v>Ingresos Propios</v>
      </c>
      <c r="C196" s="460"/>
      <c r="D196" s="350">
        <f>L166</f>
        <v>0</v>
      </c>
      <c r="E196" s="350"/>
      <c r="F196" s="350"/>
      <c r="G196" s="350">
        <f t="shared" si="5"/>
        <v>0</v>
      </c>
      <c r="H196" s="350"/>
      <c r="I196" s="350">
        <f t="shared" si="2"/>
        <v>0</v>
      </c>
      <c r="J196" s="350"/>
      <c r="K196" s="338">
        <f t="shared" si="3"/>
        <v>0</v>
      </c>
      <c r="L196" s="338"/>
      <c r="M196" s="338">
        <f t="shared" si="4"/>
        <v>0</v>
      </c>
      <c r="N196" s="339"/>
    </row>
    <row r="197" spans="2:14" ht="13.5" thickBot="1">
      <c r="B197" s="529" t="str">
        <f>T(serv12)</f>
        <v>Otro</v>
      </c>
      <c r="C197" s="530"/>
      <c r="D197" s="544">
        <f>L167</f>
        <v>0</v>
      </c>
      <c r="E197" s="544"/>
      <c r="F197" s="544"/>
      <c r="G197" s="544">
        <f t="shared" si="5"/>
        <v>0</v>
      </c>
      <c r="H197" s="544"/>
      <c r="I197" s="544">
        <f t="shared" si="2"/>
        <v>0</v>
      </c>
      <c r="J197" s="544"/>
      <c r="K197" s="473">
        <f t="shared" si="3"/>
        <v>0</v>
      </c>
      <c r="L197" s="473"/>
      <c r="M197" s="473">
        <f t="shared" si="4"/>
        <v>0</v>
      </c>
      <c r="N197" s="545"/>
    </row>
    <row r="198" spans="2:6" ht="12.75">
      <c r="B198" s="5"/>
      <c r="C198" s="5"/>
      <c r="D198" s="5"/>
      <c r="E198" s="6"/>
      <c r="F198" s="6"/>
    </row>
    <row r="199" spans="2:6" ht="12.75">
      <c r="B199" s="5"/>
      <c r="C199" s="5"/>
      <c r="D199" s="5"/>
      <c r="E199" s="6"/>
      <c r="F199" s="6"/>
    </row>
    <row r="200" spans="2:6" ht="12.75">
      <c r="B200" s="5"/>
      <c r="C200" s="5"/>
      <c r="D200" s="5"/>
      <c r="E200" s="6"/>
      <c r="F200" s="6"/>
    </row>
    <row r="201" ht="12.75">
      <c r="B201" t="s">
        <v>276</v>
      </c>
    </row>
    <row r="202" spans="2:9" ht="15">
      <c r="B202" s="61" t="s">
        <v>172</v>
      </c>
      <c r="H202" s="2"/>
      <c r="I202" s="2"/>
    </row>
    <row r="203" spans="2:13" ht="15" customHeight="1">
      <c r="B203" s="463" t="s">
        <v>30</v>
      </c>
      <c r="C203" s="463"/>
      <c r="D203" s="273" t="s">
        <v>264</v>
      </c>
      <c r="E203" s="273"/>
      <c r="F203" s="273"/>
      <c r="G203" s="274" t="s">
        <v>344</v>
      </c>
      <c r="H203" s="274" t="s">
        <v>351</v>
      </c>
      <c r="I203" s="161">
        <v>1</v>
      </c>
      <c r="J203" s="161">
        <f>I203+1</f>
        <v>2</v>
      </c>
      <c r="K203" s="161">
        <f>J203+1</f>
        <v>3</v>
      </c>
      <c r="L203" s="161">
        <f>K203+1</f>
        <v>4</v>
      </c>
      <c r="M203" s="161">
        <f>L203+1</f>
        <v>5</v>
      </c>
    </row>
    <row r="204" spans="2:13" ht="17.25" customHeight="1">
      <c r="B204" s="463"/>
      <c r="C204" s="463"/>
      <c r="D204" s="273"/>
      <c r="E204" s="273"/>
      <c r="F204" s="273"/>
      <c r="G204" s="274"/>
      <c r="H204" s="274"/>
      <c r="I204" s="241" t="s">
        <v>220</v>
      </c>
      <c r="J204" s="241"/>
      <c r="K204" s="241"/>
      <c r="L204" s="241"/>
      <c r="M204" s="241"/>
    </row>
    <row r="205" spans="2:13" ht="12.75">
      <c r="B205" s="463"/>
      <c r="C205" s="463"/>
      <c r="D205" s="273"/>
      <c r="E205" s="273"/>
      <c r="F205" s="273"/>
      <c r="G205" s="161">
        <f>PoblacionAfectada</f>
        <v>0</v>
      </c>
      <c r="H205" s="242">
        <f>SUM(I205:M205)</f>
        <v>0</v>
      </c>
      <c r="I205" s="162">
        <f>G205+TRUNC(G205*RitmoDeCrecimiento)</f>
        <v>0</v>
      </c>
      <c r="J205" s="162">
        <f aca="true" t="shared" si="6" ref="J205:M206">I205+TRUNC(I205*RitmoDeCrecimiento)</f>
        <v>0</v>
      </c>
      <c r="K205" s="162">
        <f t="shared" si="6"/>
        <v>0</v>
      </c>
      <c r="L205" s="162">
        <f t="shared" si="6"/>
        <v>0</v>
      </c>
      <c r="M205" s="162">
        <f t="shared" si="6"/>
        <v>0</v>
      </c>
    </row>
    <row r="206" spans="2:13" ht="12.75" customHeight="1">
      <c r="B206" s="411" t="str">
        <f>T(serv1)</f>
        <v>   Atención Prenatal</v>
      </c>
      <c r="C206" s="411"/>
      <c r="D206" s="253">
        <f>F153</f>
        <v>0</v>
      </c>
      <c r="E206" s="253"/>
      <c r="F206" s="253"/>
      <c r="G206" s="161">
        <f>I153</f>
        <v>0</v>
      </c>
      <c r="H206" s="242">
        <f>SUM(I206:M206)</f>
        <v>0</v>
      </c>
      <c r="I206" s="162">
        <f>G206+TRUNC(G206*RitmoDeCrecimiento)</f>
        <v>0</v>
      </c>
      <c r="J206" s="162">
        <f t="shared" si="6"/>
        <v>0</v>
      </c>
      <c r="K206" s="162">
        <f t="shared" si="6"/>
        <v>0</v>
      </c>
      <c r="L206" s="162">
        <f t="shared" si="6"/>
        <v>0</v>
      </c>
      <c r="M206" s="162">
        <f t="shared" si="6"/>
        <v>0</v>
      </c>
    </row>
    <row r="207" spans="2:13" ht="12.75" customHeight="1">
      <c r="B207" s="411"/>
      <c r="C207" s="411"/>
      <c r="D207" s="253"/>
      <c r="E207" s="253"/>
      <c r="F207" s="253"/>
      <c r="G207" s="110">
        <f>$D$206*G206</f>
        <v>0</v>
      </c>
      <c r="H207" s="110">
        <f>SUM(I207:M207)</f>
        <v>0</v>
      </c>
      <c r="I207" s="110">
        <f>$D$206*I206</f>
        <v>0</v>
      </c>
      <c r="J207" s="110">
        <f>$D$206*J206</f>
        <v>0</v>
      </c>
      <c r="K207" s="110">
        <f>$D$206*K206</f>
        <v>0</v>
      </c>
      <c r="L207" s="110">
        <f>$D$206*L206</f>
        <v>0</v>
      </c>
      <c r="M207" s="110">
        <f>$D$206*M206</f>
        <v>0</v>
      </c>
    </row>
    <row r="208" spans="2:13" ht="12.75" customHeight="1">
      <c r="B208" s="411" t="str">
        <f>T(serv2)</f>
        <v>   Atención de Parto</v>
      </c>
      <c r="C208" s="411"/>
      <c r="D208" s="253">
        <f>F154</f>
        <v>0</v>
      </c>
      <c r="E208" s="253"/>
      <c r="F208" s="253"/>
      <c r="G208" s="161">
        <f>I154</f>
        <v>0</v>
      </c>
      <c r="H208" s="242">
        <f>SUM(I208:M208)</f>
        <v>0</v>
      </c>
      <c r="I208" s="162">
        <f>G208+TRUNC(G208*RitmoDeCrecimiento)</f>
        <v>0</v>
      </c>
      <c r="J208" s="162">
        <f>I208+TRUNC(I208*RitmoDeCrecimiento)</f>
        <v>0</v>
      </c>
      <c r="K208" s="162">
        <f>J208+TRUNC(J208*RitmoDeCrecimiento)</f>
        <v>0</v>
      </c>
      <c r="L208" s="162">
        <f>K208+TRUNC(K208*RitmoDeCrecimiento)</f>
        <v>0</v>
      </c>
      <c r="M208" s="162">
        <f>L208+TRUNC(L208*RitmoDeCrecimiento)</f>
        <v>0</v>
      </c>
    </row>
    <row r="209" spans="2:13" ht="12.75" customHeight="1">
      <c r="B209" s="411"/>
      <c r="C209" s="411"/>
      <c r="D209" s="253"/>
      <c r="E209" s="253"/>
      <c r="F209" s="253"/>
      <c r="G209" s="110">
        <f>$D208*G208</f>
        <v>0</v>
      </c>
      <c r="H209" s="110">
        <v>0</v>
      </c>
      <c r="I209" s="110">
        <f>$D$208*I208</f>
        <v>0</v>
      </c>
      <c r="J209" s="110">
        <f>$D$208*J208</f>
        <v>0</v>
      </c>
      <c r="K209" s="110">
        <f>$D$208*K208</f>
        <v>0</v>
      </c>
      <c r="L209" s="110">
        <f>$D$208*L208</f>
        <v>0</v>
      </c>
      <c r="M209" s="110">
        <f>$D$208*M208</f>
        <v>0</v>
      </c>
    </row>
    <row r="210" spans="2:13" ht="12.75" customHeight="1">
      <c r="B210" s="411" t="str">
        <f>T(serv3)</f>
        <v>   Atención Post-Parto</v>
      </c>
      <c r="C210" s="411"/>
      <c r="D210" s="253">
        <f>F155</f>
        <v>0</v>
      </c>
      <c r="E210" s="253"/>
      <c r="F210" s="253"/>
      <c r="G210" s="161">
        <f>I155</f>
        <v>0</v>
      </c>
      <c r="H210" s="242">
        <f aca="true" t="shared" si="7" ref="H210:H229">SUM(I210:M210)</f>
        <v>0</v>
      </c>
      <c r="I210" s="162">
        <f>G210+TRUNC(G210*RitmoDeCrecimiento)</f>
        <v>0</v>
      </c>
      <c r="J210" s="162">
        <f>I210+TRUNC(I210*RitmoDeCrecimiento)</f>
        <v>0</v>
      </c>
      <c r="K210" s="162">
        <f>J210+TRUNC(J210*RitmoDeCrecimiento)</f>
        <v>0</v>
      </c>
      <c r="L210" s="162">
        <f>K210+TRUNC(K210*RitmoDeCrecimiento)</f>
        <v>0</v>
      </c>
      <c r="M210" s="162">
        <f>L210+TRUNC(L210*RitmoDeCrecimiento)</f>
        <v>0</v>
      </c>
    </row>
    <row r="211" spans="2:13" ht="12.75" customHeight="1">
      <c r="B211" s="411"/>
      <c r="C211" s="411"/>
      <c r="D211" s="253"/>
      <c r="E211" s="253"/>
      <c r="F211" s="253"/>
      <c r="G211" s="110">
        <f>$D$210*G210</f>
        <v>0</v>
      </c>
      <c r="H211" s="110">
        <f t="shared" si="7"/>
        <v>0</v>
      </c>
      <c r="I211" s="110">
        <f>$D$210*I210</f>
        <v>0</v>
      </c>
      <c r="J211" s="110">
        <f>$D$210*J210</f>
        <v>0</v>
      </c>
      <c r="K211" s="110">
        <f>$D$210*K210</f>
        <v>0</v>
      </c>
      <c r="L211" s="110">
        <f>$D$210*L210</f>
        <v>0</v>
      </c>
      <c r="M211" s="110">
        <f>$D$210*M210</f>
        <v>0</v>
      </c>
    </row>
    <row r="212" spans="2:13" ht="12.75">
      <c r="B212" s="411" t="str">
        <f>T(serv4)</f>
        <v>  Enfermedades Digestivas Agudas (EDA)</v>
      </c>
      <c r="C212" s="411"/>
      <c r="D212" s="253">
        <f>F157</f>
        <v>0</v>
      </c>
      <c r="E212" s="253"/>
      <c r="F212" s="253"/>
      <c r="G212" s="161">
        <f>I157</f>
        <v>0</v>
      </c>
      <c r="H212" s="242">
        <f t="shared" si="7"/>
        <v>0</v>
      </c>
      <c r="I212" s="162">
        <f>G212+TRUNC(G212*RitmoDeCrecimiento)</f>
        <v>0</v>
      </c>
      <c r="J212" s="162">
        <f>I212+TRUNC(I212*RitmoDeCrecimiento)</f>
        <v>0</v>
      </c>
      <c r="K212" s="162">
        <f>J212+TRUNC(J212*RitmoDeCrecimiento)</f>
        <v>0</v>
      </c>
      <c r="L212" s="162">
        <f>K212+TRUNC(K212*RitmoDeCrecimiento)</f>
        <v>0</v>
      </c>
      <c r="M212" s="162">
        <f>L212+TRUNC(L212*RitmoDeCrecimiento)</f>
        <v>0</v>
      </c>
    </row>
    <row r="213" spans="2:13" ht="12.75">
      <c r="B213" s="411"/>
      <c r="C213" s="411"/>
      <c r="D213" s="253"/>
      <c r="E213" s="253"/>
      <c r="F213" s="253"/>
      <c r="G213" s="110">
        <f>$D$212*G212</f>
        <v>0</v>
      </c>
      <c r="H213" s="110">
        <f t="shared" si="7"/>
        <v>0</v>
      </c>
      <c r="I213" s="110">
        <f>$D$212*I212</f>
        <v>0</v>
      </c>
      <c r="J213" s="110">
        <f>$D$212*J212</f>
        <v>0</v>
      </c>
      <c r="K213" s="110">
        <f>$D$212*K212</f>
        <v>0</v>
      </c>
      <c r="L213" s="110">
        <f>$D$212*L212</f>
        <v>0</v>
      </c>
      <c r="M213" s="110">
        <f>$D$212*M212</f>
        <v>0</v>
      </c>
    </row>
    <row r="214" spans="2:13" ht="12.75">
      <c r="B214" s="411" t="str">
        <f>T(serv5)</f>
        <v>  Infecciones Respiratorias Agudas (IRA)</v>
      </c>
      <c r="C214" s="411"/>
      <c r="D214" s="253">
        <f>F158</f>
        <v>0</v>
      </c>
      <c r="E214" s="253"/>
      <c r="F214" s="253"/>
      <c r="G214" s="161">
        <f>I158</f>
        <v>0</v>
      </c>
      <c r="H214" s="242">
        <f t="shared" si="7"/>
        <v>0</v>
      </c>
      <c r="I214" s="162">
        <f>G214+TRUNC(G214*RitmoDeCrecimiento)</f>
        <v>0</v>
      </c>
      <c r="J214" s="162">
        <f>I214+TRUNC(I214*RitmoDeCrecimiento)</f>
        <v>0</v>
      </c>
      <c r="K214" s="162">
        <f>J214+TRUNC(J214*RitmoDeCrecimiento)</f>
        <v>0</v>
      </c>
      <c r="L214" s="162">
        <f>K214+TRUNC(K214*RitmoDeCrecimiento)</f>
        <v>0</v>
      </c>
      <c r="M214" s="162">
        <f>L214+TRUNC(L214*RitmoDeCrecimiento)</f>
        <v>0</v>
      </c>
    </row>
    <row r="215" spans="2:13" ht="12.75">
      <c r="B215" s="411"/>
      <c r="C215" s="411"/>
      <c r="D215" s="253"/>
      <c r="E215" s="253"/>
      <c r="F215" s="253"/>
      <c r="G215" s="110">
        <f>$D$214*G214</f>
        <v>0</v>
      </c>
      <c r="H215" s="110">
        <f t="shared" si="7"/>
        <v>0</v>
      </c>
      <c r="I215" s="110">
        <f>$D$214*I214</f>
        <v>0</v>
      </c>
      <c r="J215" s="110">
        <f>$D$214*J214</f>
        <v>0</v>
      </c>
      <c r="K215" s="110">
        <f>$D$214*K214</f>
        <v>0</v>
      </c>
      <c r="L215" s="110">
        <f>$D$214*L214</f>
        <v>0</v>
      </c>
      <c r="M215" s="110">
        <f>$D$214*M214</f>
        <v>0</v>
      </c>
    </row>
    <row r="216" spans="2:13" ht="12.75">
      <c r="B216" s="411" t="str">
        <f>T(serv6)</f>
        <v>   Crecimiento y Desarrollo</v>
      </c>
      <c r="C216" s="411"/>
      <c r="D216" s="253">
        <f>F159</f>
        <v>0</v>
      </c>
      <c r="E216" s="253"/>
      <c r="F216" s="253"/>
      <c r="G216" s="161">
        <f>I159</f>
        <v>0</v>
      </c>
      <c r="H216" s="242">
        <f t="shared" si="7"/>
        <v>0</v>
      </c>
      <c r="I216" s="162">
        <f>G216+TRUNC(G216*RitmoDeCrecimiento)</f>
        <v>0</v>
      </c>
      <c r="J216" s="162">
        <f>I216+TRUNC(I216*RitmoDeCrecimiento)</f>
        <v>0</v>
      </c>
      <c r="K216" s="162">
        <f>J216+TRUNC(J216*RitmoDeCrecimiento)</f>
        <v>0</v>
      </c>
      <c r="L216" s="162">
        <f>K216+TRUNC(K216*RitmoDeCrecimiento)</f>
        <v>0</v>
      </c>
      <c r="M216" s="162">
        <f>L216+TRUNC(L216*RitmoDeCrecimiento)</f>
        <v>0</v>
      </c>
    </row>
    <row r="217" spans="2:13" ht="12.75">
      <c r="B217" s="411"/>
      <c r="C217" s="411"/>
      <c r="D217" s="253"/>
      <c r="E217" s="253"/>
      <c r="F217" s="253"/>
      <c r="G217" s="110">
        <f>$D$216*G216</f>
        <v>0</v>
      </c>
      <c r="H217" s="110">
        <f t="shared" si="7"/>
        <v>0</v>
      </c>
      <c r="I217" s="110">
        <f>$D$216*I216</f>
        <v>0</v>
      </c>
      <c r="J217" s="110">
        <f>$D$216*J216</f>
        <v>0</v>
      </c>
      <c r="K217" s="110">
        <f>$D$216*K216</f>
        <v>0</v>
      </c>
      <c r="L217" s="110">
        <f>$D$216*L216</f>
        <v>0</v>
      </c>
      <c r="M217" s="110">
        <f>$D$216*M216</f>
        <v>0</v>
      </c>
    </row>
    <row r="218" spans="2:13" ht="12.75">
      <c r="B218" s="411" t="str">
        <f>T(serv7)</f>
        <v>   Salud Sexual y Reproductiva</v>
      </c>
      <c r="C218" s="411"/>
      <c r="D218" s="253">
        <f>F161</f>
        <v>0</v>
      </c>
      <c r="E218" s="253"/>
      <c r="F218" s="253"/>
      <c r="G218" s="161">
        <f>I161</f>
        <v>0</v>
      </c>
      <c r="H218" s="242">
        <f t="shared" si="7"/>
        <v>0</v>
      </c>
      <c r="I218" s="162">
        <f>G218+TRUNC(G218*RitmoDeCrecimiento)</f>
        <v>0</v>
      </c>
      <c r="J218" s="162">
        <f>I218+TRUNC(I218*RitmoDeCrecimiento)</f>
        <v>0</v>
      </c>
      <c r="K218" s="162">
        <f>J218+TRUNC(J218*RitmoDeCrecimiento)</f>
        <v>0</v>
      </c>
      <c r="L218" s="162">
        <f>K218+TRUNC(K218*RitmoDeCrecimiento)</f>
        <v>0</v>
      </c>
      <c r="M218" s="162">
        <f>L218+TRUNC(L218*RitmoDeCrecimiento)</f>
        <v>0</v>
      </c>
    </row>
    <row r="219" spans="2:13" ht="12.75">
      <c r="B219" s="411"/>
      <c r="C219" s="411"/>
      <c r="D219" s="253"/>
      <c r="E219" s="253"/>
      <c r="F219" s="253"/>
      <c r="G219" s="110">
        <f>$D$218*G218</f>
        <v>0</v>
      </c>
      <c r="H219" s="110">
        <f t="shared" si="7"/>
        <v>0</v>
      </c>
      <c r="I219" s="110">
        <f>$D$218*I218</f>
        <v>0</v>
      </c>
      <c r="J219" s="110">
        <f>$D$218*J218</f>
        <v>0</v>
      </c>
      <c r="K219" s="110">
        <f>$D$218*K218</f>
        <v>0</v>
      </c>
      <c r="L219" s="110">
        <f>$D$218*L218</f>
        <v>0</v>
      </c>
      <c r="M219" s="110">
        <f>$D$218*M218</f>
        <v>0</v>
      </c>
    </row>
    <row r="220" spans="2:13" ht="12.75">
      <c r="B220" s="411" t="str">
        <f>T(serv8)</f>
        <v>   Tuberculosis</v>
      </c>
      <c r="C220" s="411"/>
      <c r="D220" s="253">
        <f>F162</f>
        <v>0</v>
      </c>
      <c r="E220" s="253"/>
      <c r="F220" s="253"/>
      <c r="G220" s="161">
        <f>I162</f>
        <v>0</v>
      </c>
      <c r="H220" s="242">
        <f t="shared" si="7"/>
        <v>0</v>
      </c>
      <c r="I220" s="162">
        <f>G220+TRUNC(G220*RitmoDeCrecimiento)</f>
        <v>0</v>
      </c>
      <c r="J220" s="162">
        <f>I220+TRUNC(I220*RitmoDeCrecimiento)</f>
        <v>0</v>
      </c>
      <c r="K220" s="162">
        <f>J220+TRUNC(J220*RitmoDeCrecimiento)</f>
        <v>0</v>
      </c>
      <c r="L220" s="162">
        <f>K220+TRUNC(K220*RitmoDeCrecimiento)</f>
        <v>0</v>
      </c>
      <c r="M220" s="162">
        <f>L220+TRUNC(L220*RitmoDeCrecimiento)</f>
        <v>0</v>
      </c>
    </row>
    <row r="221" spans="2:13" ht="12.75">
      <c r="B221" s="411"/>
      <c r="C221" s="411"/>
      <c r="D221" s="253"/>
      <c r="E221" s="253"/>
      <c r="F221" s="253"/>
      <c r="G221" s="110">
        <f>$D$220*G220</f>
        <v>0</v>
      </c>
      <c r="H221" s="110">
        <f t="shared" si="7"/>
        <v>0</v>
      </c>
      <c r="I221" s="110">
        <f>$D$220*I220</f>
        <v>0</v>
      </c>
      <c r="J221" s="110">
        <f>$D$220*J220</f>
        <v>0</v>
      </c>
      <c r="K221" s="110">
        <f>$D$220*K220</f>
        <v>0</v>
      </c>
      <c r="L221" s="110">
        <f>$D$220*L220</f>
        <v>0</v>
      </c>
      <c r="M221" s="110">
        <f>$D$220*M220</f>
        <v>0</v>
      </c>
    </row>
    <row r="222" spans="2:13" ht="12.75">
      <c r="B222" s="411" t="str">
        <f>T(serv9)</f>
        <v>  Programa Ampliado de Inmunización (PAI)</v>
      </c>
      <c r="C222" s="411"/>
      <c r="D222" s="253">
        <f>F164</f>
        <v>0</v>
      </c>
      <c r="E222" s="253"/>
      <c r="F222" s="253"/>
      <c r="G222" s="161">
        <f>I164</f>
        <v>0</v>
      </c>
      <c r="H222" s="242">
        <f t="shared" si="7"/>
        <v>0</v>
      </c>
      <c r="I222" s="162">
        <f>G222+TRUNC(G222*RitmoDeCrecimiento)</f>
        <v>0</v>
      </c>
      <c r="J222" s="162">
        <f>I222+TRUNC(I222*RitmoDeCrecimiento)</f>
        <v>0</v>
      </c>
      <c r="K222" s="162">
        <f>J222+TRUNC(J222*RitmoDeCrecimiento)</f>
        <v>0</v>
      </c>
      <c r="L222" s="162">
        <f>K222+TRUNC(K222*RitmoDeCrecimiento)</f>
        <v>0</v>
      </c>
      <c r="M222" s="162">
        <f>L222+TRUNC(L222*RitmoDeCrecimiento)</f>
        <v>0</v>
      </c>
    </row>
    <row r="223" spans="2:13" ht="12.75">
      <c r="B223" s="411"/>
      <c r="C223" s="411"/>
      <c r="D223" s="253"/>
      <c r="E223" s="253"/>
      <c r="F223" s="253"/>
      <c r="G223" s="110">
        <f>$D$222*G222</f>
        <v>0</v>
      </c>
      <c r="H223" s="110">
        <f t="shared" si="7"/>
        <v>0</v>
      </c>
      <c r="I223" s="110">
        <f>$D$222*I222</f>
        <v>0</v>
      </c>
      <c r="J223" s="110">
        <f>$D$222*J222</f>
        <v>0</v>
      </c>
      <c r="K223" s="110">
        <f>$D$222*K222</f>
        <v>0</v>
      </c>
      <c r="L223" s="110">
        <f>$D$222*L222</f>
        <v>0</v>
      </c>
      <c r="M223" s="110">
        <f>$D$222*M222</f>
        <v>0</v>
      </c>
    </row>
    <row r="224" spans="2:13" ht="12.75">
      <c r="B224" s="411" t="str">
        <f>T(serv10)</f>
        <v>Otros Ingresos Seguro Básico de Salud</v>
      </c>
      <c r="C224" s="411"/>
      <c r="D224" s="253">
        <f>F165</f>
        <v>0</v>
      </c>
      <c r="E224" s="253"/>
      <c r="F224" s="253"/>
      <c r="G224" s="161">
        <f>I165</f>
        <v>0</v>
      </c>
      <c r="H224" s="242">
        <f t="shared" si="7"/>
        <v>0</v>
      </c>
      <c r="I224" s="162">
        <f>G224+TRUNC(G224*RitmoDeCrecimiento)</f>
        <v>0</v>
      </c>
      <c r="J224" s="162">
        <f>I224+TRUNC(I224*RitmoDeCrecimiento)</f>
        <v>0</v>
      </c>
      <c r="K224" s="162">
        <f>J224+TRUNC(J224*RitmoDeCrecimiento)</f>
        <v>0</v>
      </c>
      <c r="L224" s="162">
        <f>K224+TRUNC(K224*RitmoDeCrecimiento)</f>
        <v>0</v>
      </c>
      <c r="M224" s="162">
        <f>L224+TRUNC(L224*RitmoDeCrecimiento)</f>
        <v>0</v>
      </c>
    </row>
    <row r="225" spans="2:13" ht="12.75">
      <c r="B225" s="411"/>
      <c r="C225" s="411"/>
      <c r="D225" s="253"/>
      <c r="E225" s="253"/>
      <c r="F225" s="253"/>
      <c r="G225" s="110">
        <f>$D$224*G224</f>
        <v>0</v>
      </c>
      <c r="H225" s="110">
        <f t="shared" si="7"/>
        <v>0</v>
      </c>
      <c r="I225" s="110">
        <f>$D$224*I224</f>
        <v>0</v>
      </c>
      <c r="J225" s="110">
        <f>$D$224*J224</f>
        <v>0</v>
      </c>
      <c r="K225" s="110">
        <f>$D$224*K224</f>
        <v>0</v>
      </c>
      <c r="L225" s="110">
        <f>$D$224*L224</f>
        <v>0</v>
      </c>
      <c r="M225" s="110">
        <f>$D$224*M224</f>
        <v>0</v>
      </c>
    </row>
    <row r="226" spans="2:13" ht="12.75">
      <c r="B226" s="411" t="str">
        <f>T(serv11)</f>
        <v>Ingresos Propios</v>
      </c>
      <c r="C226" s="411"/>
      <c r="D226" s="253">
        <f>F166</f>
        <v>0</v>
      </c>
      <c r="E226" s="253"/>
      <c r="F226" s="253"/>
      <c r="G226" s="161">
        <f>I166</f>
        <v>0</v>
      </c>
      <c r="H226" s="242">
        <f t="shared" si="7"/>
        <v>0</v>
      </c>
      <c r="I226" s="162">
        <f>G226+TRUNC(G226*RitmoDeCrecimiento)</f>
        <v>0</v>
      </c>
      <c r="J226" s="162">
        <f>I226+TRUNC(I226*RitmoDeCrecimiento)</f>
        <v>0</v>
      </c>
      <c r="K226" s="162">
        <f>J226+TRUNC(J226*RitmoDeCrecimiento)</f>
        <v>0</v>
      </c>
      <c r="L226" s="162">
        <f>K226+TRUNC(K226*RitmoDeCrecimiento)</f>
        <v>0</v>
      </c>
      <c r="M226" s="162">
        <f>L226+TRUNC(L226*RitmoDeCrecimiento)</f>
        <v>0</v>
      </c>
    </row>
    <row r="227" spans="2:13" ht="12.75">
      <c r="B227" s="411"/>
      <c r="C227" s="411"/>
      <c r="D227" s="253"/>
      <c r="E227" s="253"/>
      <c r="F227" s="253"/>
      <c r="G227" s="110">
        <f>$D$226*G226</f>
        <v>0</v>
      </c>
      <c r="H227" s="110">
        <f t="shared" si="7"/>
        <v>0</v>
      </c>
      <c r="I227" s="110">
        <f>$D$226*I226</f>
        <v>0</v>
      </c>
      <c r="J227" s="110">
        <f>$D$226*J226</f>
        <v>0</v>
      </c>
      <c r="K227" s="110">
        <f>$D$226*K226</f>
        <v>0</v>
      </c>
      <c r="L227" s="110">
        <f>$D$226*L226</f>
        <v>0</v>
      </c>
      <c r="M227" s="110">
        <f>$D$226*M226</f>
        <v>0</v>
      </c>
    </row>
    <row r="228" spans="2:13" ht="12.75">
      <c r="B228" s="411" t="str">
        <f>T(serv12)</f>
        <v>Otro</v>
      </c>
      <c r="C228" s="411"/>
      <c r="D228" s="253">
        <f>F167</f>
        <v>0</v>
      </c>
      <c r="E228" s="253"/>
      <c r="F228" s="253"/>
      <c r="G228" s="161">
        <f>I167</f>
        <v>0</v>
      </c>
      <c r="H228" s="242">
        <f t="shared" si="7"/>
        <v>0</v>
      </c>
      <c r="I228" s="162">
        <f>G228+TRUNC(G228*RitmoDeCrecimiento)</f>
        <v>0</v>
      </c>
      <c r="J228" s="162">
        <f>I228+TRUNC(I228*RitmoDeCrecimiento)</f>
        <v>0</v>
      </c>
      <c r="K228" s="162">
        <f>J228+TRUNC(J228*RitmoDeCrecimiento)</f>
        <v>0</v>
      </c>
      <c r="L228" s="162">
        <f>K228+TRUNC(K228*RitmoDeCrecimiento)</f>
        <v>0</v>
      </c>
      <c r="M228" s="162">
        <f>L228+TRUNC(L228*RitmoDeCrecimiento)</f>
        <v>0</v>
      </c>
    </row>
    <row r="229" spans="2:13" ht="12.75">
      <c r="B229" s="411"/>
      <c r="C229" s="411"/>
      <c r="D229" s="253"/>
      <c r="E229" s="253"/>
      <c r="F229" s="253"/>
      <c r="G229" s="110">
        <f>$D$228*G228</f>
        <v>0</v>
      </c>
      <c r="H229" s="110">
        <f t="shared" si="7"/>
        <v>0</v>
      </c>
      <c r="I229" s="110">
        <f>$D$228*I228</f>
        <v>0</v>
      </c>
      <c r="J229" s="110">
        <f>$D$228*J228</f>
        <v>0</v>
      </c>
      <c r="K229" s="110">
        <f>$D$228*K228</f>
        <v>0</v>
      </c>
      <c r="L229" s="110">
        <f>$D$228*L228</f>
        <v>0</v>
      </c>
      <c r="M229" s="110">
        <f>$D$228*M228</f>
        <v>0</v>
      </c>
    </row>
    <row r="230" spans="4:13" ht="12.75">
      <c r="D230" s="541" t="s">
        <v>341</v>
      </c>
      <c r="E230" s="542"/>
      <c r="F230" s="543"/>
      <c r="G230" s="191">
        <f aca="true" t="shared" si="8" ref="G230:M230">G207+G209+G211+G213+G215+G217+G219+G221+G223+G225+G227+G229</f>
        <v>0</v>
      </c>
      <c r="H230" s="191">
        <f t="shared" si="8"/>
        <v>0</v>
      </c>
      <c r="I230" s="191">
        <f t="shared" si="8"/>
        <v>0</v>
      </c>
      <c r="J230" s="191">
        <f t="shared" si="8"/>
        <v>0</v>
      </c>
      <c r="K230" s="191">
        <f t="shared" si="8"/>
        <v>0</v>
      </c>
      <c r="L230" s="191">
        <f t="shared" si="8"/>
        <v>0</v>
      </c>
      <c r="M230" s="191">
        <f t="shared" si="8"/>
        <v>0</v>
      </c>
    </row>
    <row r="231" ht="30" customHeight="1">
      <c r="B231" s="61" t="s">
        <v>79</v>
      </c>
    </row>
    <row r="232" spans="2:15" ht="12.75" customHeight="1">
      <c r="B232" s="445" t="s">
        <v>30</v>
      </c>
      <c r="C232" s="445"/>
      <c r="D232" s="534" t="s">
        <v>173</v>
      </c>
      <c r="E232" s="534" t="s">
        <v>32</v>
      </c>
      <c r="F232" s="534"/>
      <c r="G232" s="534" t="s">
        <v>33</v>
      </c>
      <c r="H232" s="534" t="s">
        <v>34</v>
      </c>
      <c r="I232" s="274" t="s">
        <v>343</v>
      </c>
      <c r="J232" s="274" t="s">
        <v>351</v>
      </c>
      <c r="K232" s="244" t="s">
        <v>174</v>
      </c>
      <c r="L232" s="16"/>
      <c r="M232" s="179"/>
      <c r="N232" s="180"/>
      <c r="O232" s="182"/>
    </row>
    <row r="233" spans="2:15" ht="12.75">
      <c r="B233" s="445"/>
      <c r="C233" s="445"/>
      <c r="D233" s="534"/>
      <c r="E233" s="534"/>
      <c r="F233" s="534"/>
      <c r="G233" s="534"/>
      <c r="H233" s="534"/>
      <c r="I233" s="274"/>
      <c r="J233" s="274"/>
      <c r="K233" s="179" t="s">
        <v>219</v>
      </c>
      <c r="L233" s="180"/>
      <c r="M233" s="180"/>
      <c r="N233" s="180"/>
      <c r="O233" s="182"/>
    </row>
    <row r="234" spans="2:15" ht="12.75">
      <c r="B234" s="445"/>
      <c r="C234" s="445"/>
      <c r="D234" s="534"/>
      <c r="E234" s="534"/>
      <c r="F234" s="534"/>
      <c r="G234" s="534"/>
      <c r="H234" s="534"/>
      <c r="I234" s="274"/>
      <c r="J234" s="274"/>
      <c r="K234" s="16">
        <v>1</v>
      </c>
      <c r="L234" s="16">
        <f>K234+1</f>
        <v>2</v>
      </c>
      <c r="M234" s="16">
        <f>L234+1</f>
        <v>3</v>
      </c>
      <c r="N234" s="16">
        <f>M234+1</f>
        <v>4</v>
      </c>
      <c r="O234" s="16">
        <f>N234+1</f>
        <v>5</v>
      </c>
    </row>
    <row r="235" spans="2:15" ht="12.75" customHeight="1">
      <c r="B235" s="411" t="str">
        <f>T(serv1)</f>
        <v>   Atención Prenatal</v>
      </c>
      <c r="C235" s="411"/>
      <c r="D235" s="28">
        <f>D171</f>
        <v>0</v>
      </c>
      <c r="E235" s="268">
        <f>F171</f>
        <v>0</v>
      </c>
      <c r="F235" s="268"/>
      <c r="G235" s="28">
        <f>H171</f>
        <v>0</v>
      </c>
      <c r="H235" s="28">
        <f>I171</f>
        <v>0</v>
      </c>
      <c r="I235" s="28">
        <f>$N$171</f>
        <v>0</v>
      </c>
      <c r="J235" s="28">
        <f>SUM(K235:O235)</f>
        <v>0</v>
      </c>
      <c r="K235" s="28">
        <f aca="true" t="shared" si="9" ref="K235:K246">I235+TRUNC(I235*RitmoDeCrecimiento)</f>
        <v>0</v>
      </c>
      <c r="L235" s="28">
        <f aca="true" t="shared" si="10" ref="L235:O246">K235+TRUNC(K235*RitmoDeCrecimiento)</f>
        <v>0</v>
      </c>
      <c r="M235" s="28">
        <f t="shared" si="10"/>
        <v>0</v>
      </c>
      <c r="N235" s="28">
        <f t="shared" si="10"/>
        <v>0</v>
      </c>
      <c r="O235" s="28">
        <f t="shared" si="10"/>
        <v>0</v>
      </c>
    </row>
    <row r="236" spans="2:15" ht="12.75" customHeight="1">
      <c r="B236" s="411" t="str">
        <f>T(serv2)</f>
        <v>   Atención de Parto</v>
      </c>
      <c r="C236" s="411"/>
      <c r="D236" s="28">
        <f>D172</f>
        <v>0</v>
      </c>
      <c r="E236" s="268">
        <f>F172</f>
        <v>0</v>
      </c>
      <c r="F236" s="268"/>
      <c r="G236" s="28">
        <f>H172</f>
        <v>0</v>
      </c>
      <c r="H236" s="28">
        <f>I172</f>
        <v>0</v>
      </c>
      <c r="I236" s="28">
        <f>$N$172</f>
        <v>0</v>
      </c>
      <c r="J236" s="28">
        <f aca="true" t="shared" si="11" ref="J236:J246">SUM(K236:O236)</f>
        <v>0</v>
      </c>
      <c r="K236" s="28">
        <f t="shared" si="9"/>
        <v>0</v>
      </c>
      <c r="L236" s="28">
        <f t="shared" si="10"/>
        <v>0</v>
      </c>
      <c r="M236" s="28">
        <f t="shared" si="10"/>
        <v>0</v>
      </c>
      <c r="N236" s="28">
        <f t="shared" si="10"/>
        <v>0</v>
      </c>
      <c r="O236" s="28">
        <f t="shared" si="10"/>
        <v>0</v>
      </c>
    </row>
    <row r="237" spans="2:15" ht="12.75" customHeight="1">
      <c r="B237" s="411" t="str">
        <f>T(serv3)</f>
        <v>   Atención Post-Parto</v>
      </c>
      <c r="C237" s="411"/>
      <c r="D237" s="28">
        <f>D173</f>
        <v>0</v>
      </c>
      <c r="E237" s="268">
        <f>F173</f>
        <v>0</v>
      </c>
      <c r="F237" s="268"/>
      <c r="G237" s="28">
        <f aca="true" t="shared" si="12" ref="G237:H246">H173</f>
        <v>0</v>
      </c>
      <c r="H237" s="28">
        <f>I173</f>
        <v>0</v>
      </c>
      <c r="I237" s="28">
        <f>$N$173</f>
        <v>0</v>
      </c>
      <c r="J237" s="28">
        <f t="shared" si="11"/>
        <v>0</v>
      </c>
      <c r="K237" s="28">
        <f t="shared" si="9"/>
        <v>0</v>
      </c>
      <c r="L237" s="28">
        <f t="shared" si="10"/>
        <v>0</v>
      </c>
      <c r="M237" s="28">
        <f t="shared" si="10"/>
        <v>0</v>
      </c>
      <c r="N237" s="28">
        <f t="shared" si="10"/>
        <v>0</v>
      </c>
      <c r="O237" s="28">
        <f t="shared" si="10"/>
        <v>0</v>
      </c>
    </row>
    <row r="238" spans="2:15" ht="12.75">
      <c r="B238" s="411" t="str">
        <f>T(serv4)</f>
        <v>  Enfermedades Digestivas Agudas (EDA)</v>
      </c>
      <c r="C238" s="411"/>
      <c r="D238" s="28">
        <f>D174</f>
        <v>0</v>
      </c>
      <c r="E238" s="268">
        <f>F174</f>
        <v>0</v>
      </c>
      <c r="F238" s="268"/>
      <c r="G238" s="28">
        <f t="shared" si="12"/>
        <v>0</v>
      </c>
      <c r="H238" s="28">
        <f>I174</f>
        <v>0</v>
      </c>
      <c r="I238" s="28">
        <f>$N$174</f>
        <v>0</v>
      </c>
      <c r="J238" s="28">
        <f t="shared" si="11"/>
        <v>0</v>
      </c>
      <c r="K238" s="28">
        <f t="shared" si="9"/>
        <v>0</v>
      </c>
      <c r="L238" s="28">
        <f t="shared" si="10"/>
        <v>0</v>
      </c>
      <c r="M238" s="28">
        <f t="shared" si="10"/>
        <v>0</v>
      </c>
      <c r="N238" s="28">
        <f t="shared" si="10"/>
        <v>0</v>
      </c>
      <c r="O238" s="28">
        <f t="shared" si="10"/>
        <v>0</v>
      </c>
    </row>
    <row r="239" spans="2:15" ht="12.75">
      <c r="B239" s="411" t="str">
        <f>T(serv5)</f>
        <v>  Infecciones Respiratorias Agudas (IRA)</v>
      </c>
      <c r="C239" s="411"/>
      <c r="D239" s="28">
        <f>D175</f>
        <v>0</v>
      </c>
      <c r="E239" s="268">
        <f>F175</f>
        <v>0</v>
      </c>
      <c r="F239" s="268"/>
      <c r="G239" s="28">
        <f t="shared" si="12"/>
        <v>0</v>
      </c>
      <c r="H239" s="28">
        <f>I175</f>
        <v>0</v>
      </c>
      <c r="I239" s="28">
        <f>$N$175</f>
        <v>0</v>
      </c>
      <c r="J239" s="28">
        <f t="shared" si="11"/>
        <v>0</v>
      </c>
      <c r="K239" s="28">
        <f t="shared" si="9"/>
        <v>0</v>
      </c>
      <c r="L239" s="28">
        <f t="shared" si="10"/>
        <v>0</v>
      </c>
      <c r="M239" s="28">
        <f t="shared" si="10"/>
        <v>0</v>
      </c>
      <c r="N239" s="28">
        <f t="shared" si="10"/>
        <v>0</v>
      </c>
      <c r="O239" s="28">
        <f t="shared" si="10"/>
        <v>0</v>
      </c>
    </row>
    <row r="240" spans="2:15" ht="12.75">
      <c r="B240" s="411" t="str">
        <f>T(serv6)</f>
        <v>   Crecimiento y Desarrollo</v>
      </c>
      <c r="C240" s="411"/>
      <c r="D240" s="28">
        <f aca="true" t="shared" si="13" ref="D240:D246">D176</f>
        <v>0</v>
      </c>
      <c r="E240" s="268">
        <f aca="true" t="shared" si="14" ref="E240:E246">F176</f>
        <v>0</v>
      </c>
      <c r="F240" s="268"/>
      <c r="G240" s="28">
        <f t="shared" si="12"/>
        <v>0</v>
      </c>
      <c r="H240" s="28">
        <f t="shared" si="12"/>
        <v>0</v>
      </c>
      <c r="I240" s="28">
        <f>$N$176</f>
        <v>0</v>
      </c>
      <c r="J240" s="28">
        <f t="shared" si="11"/>
        <v>0</v>
      </c>
      <c r="K240" s="28">
        <f t="shared" si="9"/>
        <v>0</v>
      </c>
      <c r="L240" s="28">
        <f t="shared" si="10"/>
        <v>0</v>
      </c>
      <c r="M240" s="28">
        <f t="shared" si="10"/>
        <v>0</v>
      </c>
      <c r="N240" s="28">
        <f t="shared" si="10"/>
        <v>0</v>
      </c>
      <c r="O240" s="28">
        <f t="shared" si="10"/>
        <v>0</v>
      </c>
    </row>
    <row r="241" spans="2:15" ht="12.75">
      <c r="B241" s="411" t="str">
        <f>T(serv7)</f>
        <v>   Salud Sexual y Reproductiva</v>
      </c>
      <c r="C241" s="411"/>
      <c r="D241" s="28">
        <f t="shared" si="13"/>
        <v>0</v>
      </c>
      <c r="E241" s="268">
        <f t="shared" si="14"/>
        <v>0</v>
      </c>
      <c r="F241" s="268"/>
      <c r="G241" s="28">
        <f t="shared" si="12"/>
        <v>0</v>
      </c>
      <c r="H241" s="28">
        <f t="shared" si="12"/>
        <v>0</v>
      </c>
      <c r="I241" s="28">
        <f>$N$177</f>
        <v>0</v>
      </c>
      <c r="J241" s="28">
        <f t="shared" si="11"/>
        <v>0</v>
      </c>
      <c r="K241" s="28">
        <f t="shared" si="9"/>
        <v>0</v>
      </c>
      <c r="L241" s="28">
        <f t="shared" si="10"/>
        <v>0</v>
      </c>
      <c r="M241" s="28">
        <f t="shared" si="10"/>
        <v>0</v>
      </c>
      <c r="N241" s="28">
        <f t="shared" si="10"/>
        <v>0</v>
      </c>
      <c r="O241" s="28">
        <f t="shared" si="10"/>
        <v>0</v>
      </c>
    </row>
    <row r="242" spans="2:15" ht="12.75">
      <c r="B242" s="411" t="str">
        <f>T(serv8)</f>
        <v>   Tuberculosis</v>
      </c>
      <c r="C242" s="411"/>
      <c r="D242" s="28">
        <f t="shared" si="13"/>
        <v>0</v>
      </c>
      <c r="E242" s="268">
        <f t="shared" si="14"/>
        <v>0</v>
      </c>
      <c r="F242" s="268"/>
      <c r="G242" s="28">
        <f t="shared" si="12"/>
        <v>0</v>
      </c>
      <c r="H242" s="28">
        <f t="shared" si="12"/>
        <v>0</v>
      </c>
      <c r="I242" s="28">
        <f>$N$178</f>
        <v>0</v>
      </c>
      <c r="J242" s="28">
        <f t="shared" si="11"/>
        <v>0</v>
      </c>
      <c r="K242" s="28">
        <f t="shared" si="9"/>
        <v>0</v>
      </c>
      <c r="L242" s="28">
        <f t="shared" si="10"/>
        <v>0</v>
      </c>
      <c r="M242" s="28">
        <f t="shared" si="10"/>
        <v>0</v>
      </c>
      <c r="N242" s="28">
        <f t="shared" si="10"/>
        <v>0</v>
      </c>
      <c r="O242" s="28">
        <f t="shared" si="10"/>
        <v>0</v>
      </c>
    </row>
    <row r="243" spans="2:15" ht="12.75">
      <c r="B243" s="411" t="str">
        <f>T(serv9)</f>
        <v>  Programa Ampliado de Inmunización (PAI)</v>
      </c>
      <c r="C243" s="411"/>
      <c r="D243" s="28">
        <f t="shared" si="13"/>
        <v>0</v>
      </c>
      <c r="E243" s="268">
        <f t="shared" si="14"/>
        <v>0</v>
      </c>
      <c r="F243" s="268"/>
      <c r="G243" s="28">
        <f t="shared" si="12"/>
        <v>0</v>
      </c>
      <c r="H243" s="28">
        <f t="shared" si="12"/>
        <v>0</v>
      </c>
      <c r="I243" s="28">
        <f>$N$179</f>
        <v>0</v>
      </c>
      <c r="J243" s="28">
        <f t="shared" si="11"/>
        <v>0</v>
      </c>
      <c r="K243" s="28">
        <f t="shared" si="9"/>
        <v>0</v>
      </c>
      <c r="L243" s="28">
        <f t="shared" si="10"/>
        <v>0</v>
      </c>
      <c r="M243" s="28">
        <f t="shared" si="10"/>
        <v>0</v>
      </c>
      <c r="N243" s="28">
        <f t="shared" si="10"/>
        <v>0</v>
      </c>
      <c r="O243" s="28">
        <f t="shared" si="10"/>
        <v>0</v>
      </c>
    </row>
    <row r="244" spans="2:15" ht="12.75">
      <c r="B244" s="411" t="str">
        <f>T(serv10)</f>
        <v>Otros Ingresos Seguro Básico de Salud</v>
      </c>
      <c r="C244" s="411"/>
      <c r="D244" s="28">
        <f t="shared" si="13"/>
        <v>0</v>
      </c>
      <c r="E244" s="268">
        <f t="shared" si="14"/>
        <v>0</v>
      </c>
      <c r="F244" s="268"/>
      <c r="G244" s="28">
        <f t="shared" si="12"/>
        <v>0</v>
      </c>
      <c r="H244" s="28">
        <f t="shared" si="12"/>
        <v>0</v>
      </c>
      <c r="I244" s="28">
        <f>$N$180</f>
        <v>0</v>
      </c>
      <c r="J244" s="28">
        <f t="shared" si="11"/>
        <v>0</v>
      </c>
      <c r="K244" s="28">
        <f t="shared" si="9"/>
        <v>0</v>
      </c>
      <c r="L244" s="28">
        <f t="shared" si="10"/>
        <v>0</v>
      </c>
      <c r="M244" s="28">
        <f t="shared" si="10"/>
        <v>0</v>
      </c>
      <c r="N244" s="28">
        <f t="shared" si="10"/>
        <v>0</v>
      </c>
      <c r="O244" s="28">
        <f t="shared" si="10"/>
        <v>0</v>
      </c>
    </row>
    <row r="245" spans="2:15" ht="12.75">
      <c r="B245" s="411" t="str">
        <f>T(serv11)</f>
        <v>Ingresos Propios</v>
      </c>
      <c r="C245" s="411"/>
      <c r="D245" s="28">
        <f t="shared" si="13"/>
        <v>0</v>
      </c>
      <c r="E245" s="268">
        <f t="shared" si="14"/>
        <v>0</v>
      </c>
      <c r="F245" s="268"/>
      <c r="G245" s="28">
        <f t="shared" si="12"/>
        <v>0</v>
      </c>
      <c r="H245" s="28">
        <f t="shared" si="12"/>
        <v>0</v>
      </c>
      <c r="I245" s="28">
        <f>$N$181</f>
        <v>0</v>
      </c>
      <c r="J245" s="28">
        <f t="shared" si="11"/>
        <v>0</v>
      </c>
      <c r="K245" s="28">
        <f t="shared" si="9"/>
        <v>0</v>
      </c>
      <c r="L245" s="28">
        <f t="shared" si="10"/>
        <v>0</v>
      </c>
      <c r="M245" s="28">
        <f t="shared" si="10"/>
        <v>0</v>
      </c>
      <c r="N245" s="28">
        <f t="shared" si="10"/>
        <v>0</v>
      </c>
      <c r="O245" s="28">
        <f t="shared" si="10"/>
        <v>0</v>
      </c>
    </row>
    <row r="246" spans="2:15" ht="12.75">
      <c r="B246" s="411" t="str">
        <f>T(serv12)</f>
        <v>Otro</v>
      </c>
      <c r="C246" s="411"/>
      <c r="D246" s="28">
        <f t="shared" si="13"/>
        <v>0</v>
      </c>
      <c r="E246" s="268">
        <f t="shared" si="14"/>
        <v>0</v>
      </c>
      <c r="F246" s="268"/>
      <c r="G246" s="28">
        <f t="shared" si="12"/>
        <v>0</v>
      </c>
      <c r="H246" s="28">
        <f t="shared" si="12"/>
        <v>0</v>
      </c>
      <c r="I246" s="28">
        <f>$N$182</f>
        <v>0</v>
      </c>
      <c r="J246" s="28">
        <f t="shared" si="11"/>
        <v>0</v>
      </c>
      <c r="K246" s="28">
        <f t="shared" si="9"/>
        <v>0</v>
      </c>
      <c r="L246" s="28">
        <f t="shared" si="10"/>
        <v>0</v>
      </c>
      <c r="M246" s="28">
        <f t="shared" si="10"/>
        <v>0</v>
      </c>
      <c r="N246" s="28">
        <f t="shared" si="10"/>
        <v>0</v>
      </c>
      <c r="O246" s="28">
        <f t="shared" si="10"/>
        <v>0</v>
      </c>
    </row>
    <row r="247" spans="6:15" ht="12.75">
      <c r="F247" s="546" t="s">
        <v>345</v>
      </c>
      <c r="G247" s="547"/>
      <c r="H247" s="548"/>
      <c r="I247" s="243">
        <f aca="true" t="shared" si="15" ref="I247:O247">SUM(I235:I246)</f>
        <v>0</v>
      </c>
      <c r="J247" s="243">
        <f t="shared" si="15"/>
        <v>0</v>
      </c>
      <c r="K247" s="243">
        <f t="shared" si="15"/>
        <v>0</v>
      </c>
      <c r="L247" s="243">
        <f t="shared" si="15"/>
        <v>0</v>
      </c>
      <c r="M247" s="243">
        <f t="shared" si="15"/>
        <v>0</v>
      </c>
      <c r="N247" s="243">
        <f t="shared" si="15"/>
        <v>0</v>
      </c>
      <c r="O247" s="243">
        <f t="shared" si="15"/>
        <v>0</v>
      </c>
    </row>
    <row r="248" ht="30" customHeight="1" thickBot="1">
      <c r="B248" s="61" t="s">
        <v>123</v>
      </c>
    </row>
    <row r="249" spans="2:9" ht="12.75" customHeight="1">
      <c r="B249" s="279" t="s">
        <v>30</v>
      </c>
      <c r="C249" s="280"/>
      <c r="D249" s="79" t="s">
        <v>38</v>
      </c>
      <c r="E249" s="181" t="s">
        <v>175</v>
      </c>
      <c r="F249" s="183"/>
      <c r="G249" s="183"/>
      <c r="H249" s="183"/>
      <c r="I249" s="184"/>
    </row>
    <row r="250" spans="2:9" ht="17.25" customHeight="1">
      <c r="B250" s="281"/>
      <c r="C250" s="269"/>
      <c r="D250" s="80" t="s">
        <v>39</v>
      </c>
      <c r="E250" s="179" t="s">
        <v>219</v>
      </c>
      <c r="F250" s="180"/>
      <c r="G250" s="180"/>
      <c r="H250" s="180"/>
      <c r="I250" s="182"/>
    </row>
    <row r="251" spans="2:9" ht="16.5">
      <c r="B251" s="266"/>
      <c r="C251" s="267"/>
      <c r="D251" s="17" t="s">
        <v>122</v>
      </c>
      <c r="E251" s="16">
        <v>1</v>
      </c>
      <c r="F251" s="16">
        <f>E251+1</f>
        <v>2</v>
      </c>
      <c r="G251" s="16">
        <f>F251+1</f>
        <v>3</v>
      </c>
      <c r="H251" s="16">
        <f>G251+1</f>
        <v>4</v>
      </c>
      <c r="I251" s="16">
        <f>H251+1</f>
        <v>5</v>
      </c>
    </row>
    <row r="252" spans="2:9" ht="12.75" customHeight="1">
      <c r="B252" s="275" t="str">
        <f>T(serv1)</f>
        <v>   Atención Prenatal</v>
      </c>
      <c r="C252" s="276"/>
      <c r="D252" s="28">
        <f>M186</f>
        <v>0</v>
      </c>
      <c r="E252" s="28">
        <f>I207-K235</f>
        <v>0</v>
      </c>
      <c r="F252" s="28">
        <f>J207-L235</f>
        <v>0</v>
      </c>
      <c r="G252" s="28">
        <f>K207-M235</f>
        <v>0</v>
      </c>
      <c r="H252" s="28">
        <f>L207-N235</f>
        <v>0</v>
      </c>
      <c r="I252" s="28">
        <f>M207-O235</f>
        <v>0</v>
      </c>
    </row>
    <row r="253" spans="2:9" ht="12.75" customHeight="1">
      <c r="B253" s="275" t="str">
        <f>T(serv2)</f>
        <v>   Atención de Parto</v>
      </c>
      <c r="C253" s="276"/>
      <c r="D253" s="28">
        <f>M187</f>
        <v>0</v>
      </c>
      <c r="E253" s="28">
        <f>I209-K236</f>
        <v>0</v>
      </c>
      <c r="F253" s="28">
        <f>J209-L236</f>
        <v>0</v>
      </c>
      <c r="G253" s="28">
        <f>K209-M236</f>
        <v>0</v>
      </c>
      <c r="H253" s="28">
        <f>L209-N236</f>
        <v>0</v>
      </c>
      <c r="I253" s="28">
        <f>M209-O236</f>
        <v>0</v>
      </c>
    </row>
    <row r="254" spans="2:9" ht="12.75" customHeight="1">
      <c r="B254" s="275" t="str">
        <f>T(serv3)</f>
        <v>   Atención Post-Parto</v>
      </c>
      <c r="C254" s="276"/>
      <c r="D254" s="28">
        <f>M188</f>
        <v>0</v>
      </c>
      <c r="E254" s="28">
        <f>I211-K237</f>
        <v>0</v>
      </c>
      <c r="F254" s="28">
        <f>J211-L237</f>
        <v>0</v>
      </c>
      <c r="G254" s="28">
        <f>K211-M237</f>
        <v>0</v>
      </c>
      <c r="H254" s="28">
        <f>L211-N237</f>
        <v>0</v>
      </c>
      <c r="I254" s="28">
        <f>M211-O237</f>
        <v>0</v>
      </c>
    </row>
    <row r="255" spans="2:9" ht="12.75">
      <c r="B255" s="275" t="str">
        <f>T(serv4)</f>
        <v>  Enfermedades Digestivas Agudas (EDA)</v>
      </c>
      <c r="C255" s="276"/>
      <c r="D255" s="28">
        <f>M189</f>
        <v>0</v>
      </c>
      <c r="E255" s="142">
        <f>I213-K238</f>
        <v>0</v>
      </c>
      <c r="F255" s="142">
        <f>J213-L238</f>
        <v>0</v>
      </c>
      <c r="G255" s="142">
        <f>K213-M238</f>
        <v>0</v>
      </c>
      <c r="H255" s="142">
        <f>L213-N238</f>
        <v>0</v>
      </c>
      <c r="I255" s="142">
        <f>M213-O238</f>
        <v>0</v>
      </c>
    </row>
    <row r="256" spans="2:14" ht="12.75">
      <c r="B256" s="275" t="str">
        <f>T(serv5)</f>
        <v>  Infecciones Respiratorias Agudas (IRA)</v>
      </c>
      <c r="C256" s="276"/>
      <c r="D256" s="28">
        <f>M190</f>
        <v>0</v>
      </c>
      <c r="E256" s="142">
        <f>I215-K239</f>
        <v>0</v>
      </c>
      <c r="F256" s="142">
        <f>J215-L239</f>
        <v>0</v>
      </c>
      <c r="G256" s="142">
        <f>K215-M239</f>
        <v>0</v>
      </c>
      <c r="H256" s="142">
        <f>L215-N239</f>
        <v>0</v>
      </c>
      <c r="I256" s="142">
        <f>M215-O239</f>
        <v>0</v>
      </c>
      <c r="J256" s="81"/>
      <c r="K256" s="81"/>
      <c r="L256" s="81"/>
      <c r="M256" s="81"/>
      <c r="N256" s="81"/>
    </row>
    <row r="257" spans="2:14" ht="12.75">
      <c r="B257" s="275" t="str">
        <f>T(serv6)</f>
        <v>   Crecimiento y Desarrollo</v>
      </c>
      <c r="C257" s="276"/>
      <c r="D257" s="28">
        <f aca="true" t="shared" si="16" ref="D257:D263">M191</f>
        <v>0</v>
      </c>
      <c r="E257" s="142">
        <f>I217-K240</f>
        <v>0</v>
      </c>
      <c r="F257" s="142">
        <f>J217-L240</f>
        <v>0</v>
      </c>
      <c r="G257" s="142">
        <f>K217-M240</f>
        <v>0</v>
      </c>
      <c r="H257" s="142">
        <f>L217-N240</f>
        <v>0</v>
      </c>
      <c r="I257" s="142">
        <f>M217-O240</f>
        <v>0</v>
      </c>
      <c r="J257" s="81"/>
      <c r="K257" s="81"/>
      <c r="L257" s="81"/>
      <c r="M257" s="81"/>
      <c r="N257" s="81"/>
    </row>
    <row r="258" spans="2:14" ht="12.75">
      <c r="B258" s="275" t="str">
        <f>T(serv7)</f>
        <v>   Salud Sexual y Reproductiva</v>
      </c>
      <c r="C258" s="276"/>
      <c r="D258" s="28">
        <f t="shared" si="16"/>
        <v>0</v>
      </c>
      <c r="E258" s="142">
        <f>I219-K241</f>
        <v>0</v>
      </c>
      <c r="F258" s="142">
        <f>J219-L241</f>
        <v>0</v>
      </c>
      <c r="G258" s="142">
        <f>K219-M241</f>
        <v>0</v>
      </c>
      <c r="H258" s="142">
        <f>L219-N241</f>
        <v>0</v>
      </c>
      <c r="I258" s="142">
        <f>M219-O241</f>
        <v>0</v>
      </c>
      <c r="J258" s="81"/>
      <c r="K258" s="81"/>
      <c r="L258" s="81"/>
      <c r="M258" s="81"/>
      <c r="N258" s="81"/>
    </row>
    <row r="259" spans="2:14" ht="12.75">
      <c r="B259" s="275" t="str">
        <f>T(serv8)</f>
        <v>   Tuberculosis</v>
      </c>
      <c r="C259" s="276"/>
      <c r="D259" s="28">
        <f t="shared" si="16"/>
        <v>0</v>
      </c>
      <c r="E259" s="142">
        <f>I221-K242</f>
        <v>0</v>
      </c>
      <c r="F259" s="142">
        <f>J221-L242</f>
        <v>0</v>
      </c>
      <c r="G259" s="142">
        <f>K221-M242</f>
        <v>0</v>
      </c>
      <c r="H259" s="142">
        <f>L221-N242</f>
        <v>0</v>
      </c>
      <c r="I259" s="142">
        <f>M221-O242</f>
        <v>0</v>
      </c>
      <c r="J259" s="81"/>
      <c r="K259" s="81"/>
      <c r="L259" s="81"/>
      <c r="M259" s="81"/>
      <c r="N259" s="81"/>
    </row>
    <row r="260" spans="2:14" ht="12.75">
      <c r="B260" s="275" t="str">
        <f>T(serv9)</f>
        <v>  Programa Ampliado de Inmunización (PAI)</v>
      </c>
      <c r="C260" s="276"/>
      <c r="D260" s="28">
        <f t="shared" si="16"/>
        <v>0</v>
      </c>
      <c r="E260" s="142">
        <f>I223-K243</f>
        <v>0</v>
      </c>
      <c r="F260" s="142">
        <f>J223-L243</f>
        <v>0</v>
      </c>
      <c r="G260" s="142">
        <f>K223-M243</f>
        <v>0</v>
      </c>
      <c r="H260" s="142">
        <f>L223-N243</f>
        <v>0</v>
      </c>
      <c r="I260" s="142">
        <f>M223-O243</f>
        <v>0</v>
      </c>
      <c r="J260" s="81"/>
      <c r="K260" s="81"/>
      <c r="L260" s="81"/>
      <c r="M260" s="81"/>
      <c r="N260" s="81"/>
    </row>
    <row r="261" spans="2:14" ht="12.75">
      <c r="B261" s="275" t="str">
        <f>T(serv10)</f>
        <v>Otros Ingresos Seguro Básico de Salud</v>
      </c>
      <c r="C261" s="276"/>
      <c r="D261" s="28">
        <f t="shared" si="16"/>
        <v>0</v>
      </c>
      <c r="E261" s="142">
        <f>I225-K244</f>
        <v>0</v>
      </c>
      <c r="F261" s="142">
        <f>J225-L244</f>
        <v>0</v>
      </c>
      <c r="G261" s="142">
        <f>K225-M244</f>
        <v>0</v>
      </c>
      <c r="H261" s="142">
        <f>L225-N244</f>
        <v>0</v>
      </c>
      <c r="I261" s="142">
        <f>M225-O244</f>
        <v>0</v>
      </c>
      <c r="J261" s="81"/>
      <c r="K261" s="81"/>
      <c r="L261" s="81"/>
      <c r="M261" s="81"/>
      <c r="N261" s="81"/>
    </row>
    <row r="262" spans="2:14" ht="12.75">
      <c r="B262" s="275" t="str">
        <f>T(serv11)</f>
        <v>Ingresos Propios</v>
      </c>
      <c r="C262" s="276"/>
      <c r="D262" s="28">
        <f t="shared" si="16"/>
        <v>0</v>
      </c>
      <c r="E262" s="142">
        <f>I227-K245</f>
        <v>0</v>
      </c>
      <c r="F262" s="142">
        <f>J227-L245</f>
        <v>0</v>
      </c>
      <c r="G262" s="142">
        <f>K227-M245</f>
        <v>0</v>
      </c>
      <c r="H262" s="142">
        <f>L227-N245</f>
        <v>0</v>
      </c>
      <c r="I262" s="142">
        <f>M227-O245</f>
        <v>0</v>
      </c>
      <c r="J262" s="81"/>
      <c r="K262" s="81"/>
      <c r="L262" s="81"/>
      <c r="M262" s="81"/>
      <c r="N262" s="81"/>
    </row>
    <row r="263" spans="2:14" ht="13.5" thickBot="1">
      <c r="B263" s="277" t="str">
        <f>T(serv12)</f>
        <v>Otro</v>
      </c>
      <c r="C263" s="278"/>
      <c r="D263" s="88">
        <f t="shared" si="16"/>
        <v>0</v>
      </c>
      <c r="E263" s="88">
        <f>I229-K246</f>
        <v>0</v>
      </c>
      <c r="F263" s="88">
        <f>J229-L246</f>
        <v>0</v>
      </c>
      <c r="G263" s="88">
        <f>K229-M246</f>
        <v>0</v>
      </c>
      <c r="H263" s="88">
        <f>L229-N246</f>
        <v>0</v>
      </c>
      <c r="I263" s="88">
        <f>M229-O246</f>
        <v>0</v>
      </c>
      <c r="J263" s="81"/>
      <c r="K263" s="81"/>
      <c r="L263" s="81"/>
      <c r="M263" s="81"/>
      <c r="N263" s="81"/>
    </row>
    <row r="264" spans="6:14" ht="13.5" thickBot="1">
      <c r="F264" s="81"/>
      <c r="G264" s="81"/>
      <c r="H264" s="81"/>
      <c r="I264" s="81"/>
      <c r="J264" s="81"/>
      <c r="K264" s="81"/>
      <c r="L264" s="81"/>
      <c r="M264" s="81"/>
      <c r="N264" s="81"/>
    </row>
    <row r="265" spans="2:14" ht="13.5" thickBot="1">
      <c r="B265" s="270" t="s">
        <v>353</v>
      </c>
      <c r="C265" s="271"/>
      <c r="D265" s="272"/>
      <c r="E265" s="245"/>
      <c r="F265" s="81"/>
      <c r="G265" s="81"/>
      <c r="H265" s="81"/>
      <c r="I265" s="81"/>
      <c r="J265" s="81"/>
      <c r="K265" s="81"/>
      <c r="L265" s="81"/>
      <c r="M265" s="81"/>
      <c r="N265" s="81"/>
    </row>
    <row r="266" ht="11.25" customHeight="1"/>
    <row r="269" ht="15">
      <c r="B269" s="61" t="s">
        <v>80</v>
      </c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5">
      <c r="B275" s="61" t="s">
        <v>81</v>
      </c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5">
      <c r="B281" s="61" t="s">
        <v>124</v>
      </c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5.75" thickBot="1">
      <c r="B288" s="61" t="s">
        <v>352</v>
      </c>
    </row>
    <row r="289" spans="2:13" ht="42" customHeight="1">
      <c r="B289" s="415" t="s">
        <v>273</v>
      </c>
      <c r="C289" s="416"/>
      <c r="D289" s="417"/>
      <c r="E289" s="291" t="s">
        <v>32</v>
      </c>
      <c r="F289" s="418"/>
      <c r="G289" s="292"/>
      <c r="H289" s="289" t="s">
        <v>342</v>
      </c>
      <c r="I289" s="290"/>
      <c r="J289" s="289" t="s">
        <v>348</v>
      </c>
      <c r="K289" s="290"/>
      <c r="L289" s="291" t="s">
        <v>347</v>
      </c>
      <c r="M289" s="292"/>
    </row>
    <row r="290" spans="2:13" ht="12.75">
      <c r="B290" s="412" t="str">
        <f>T(serv1)</f>
        <v>   Atención Prenatal</v>
      </c>
      <c r="C290" s="413"/>
      <c r="D290" s="414"/>
      <c r="E290" s="268" t="s">
        <v>346</v>
      </c>
      <c r="F290" s="268"/>
      <c r="G290" s="268"/>
      <c r="H290" s="286">
        <f>I235</f>
        <v>0</v>
      </c>
      <c r="I290" s="287"/>
      <c r="J290" s="293">
        <f>H290+((H207-J235)/AñosOperacion)*PorcentajeCubierto</f>
        <v>0</v>
      </c>
      <c r="K290" s="294"/>
      <c r="L290" s="293">
        <f>J290-H290</f>
        <v>0</v>
      </c>
      <c r="M290" s="294"/>
    </row>
    <row r="291" spans="2:13" ht="12.75">
      <c r="B291" s="412" t="str">
        <f>T(serv2)</f>
        <v>   Atención de Parto</v>
      </c>
      <c r="C291" s="413"/>
      <c r="D291" s="414"/>
      <c r="E291" s="268" t="s">
        <v>346</v>
      </c>
      <c r="F291" s="268"/>
      <c r="G291" s="268"/>
      <c r="H291" s="286">
        <f aca="true" t="shared" si="17" ref="H291:H301">I236</f>
        <v>0</v>
      </c>
      <c r="I291" s="287"/>
      <c r="J291" s="293">
        <f>H291+((H209-J236)/AñosOperacion)*PorcentajeCubierto</f>
        <v>0</v>
      </c>
      <c r="K291" s="294"/>
      <c r="L291" s="293">
        <f aca="true" t="shared" si="18" ref="L291:L301">J291-H291</f>
        <v>0</v>
      </c>
      <c r="M291" s="294"/>
    </row>
    <row r="292" spans="2:13" ht="12.75">
      <c r="B292" s="412" t="str">
        <f>T(serv3)</f>
        <v>   Atención Post-Parto</v>
      </c>
      <c r="C292" s="413"/>
      <c r="D292" s="414"/>
      <c r="E292" s="268" t="s">
        <v>346</v>
      </c>
      <c r="F292" s="268"/>
      <c r="G292" s="268"/>
      <c r="H292" s="286">
        <f t="shared" si="17"/>
        <v>0</v>
      </c>
      <c r="I292" s="287"/>
      <c r="J292" s="293">
        <f>H292+((H211-J237)/AñosOperacion)*PorcentajeCubierto</f>
        <v>0</v>
      </c>
      <c r="K292" s="294"/>
      <c r="L292" s="293">
        <f t="shared" si="18"/>
        <v>0</v>
      </c>
      <c r="M292" s="294"/>
    </row>
    <row r="293" spans="2:13" ht="12.75">
      <c r="B293" s="412" t="str">
        <f>T(serv4)</f>
        <v>  Enfermedades Digestivas Agudas (EDA)</v>
      </c>
      <c r="C293" s="413"/>
      <c r="D293" s="414"/>
      <c r="E293" s="268" t="s">
        <v>346</v>
      </c>
      <c r="F293" s="268"/>
      <c r="G293" s="268"/>
      <c r="H293" s="286">
        <f t="shared" si="17"/>
        <v>0</v>
      </c>
      <c r="I293" s="287"/>
      <c r="J293" s="293">
        <f>H293+((H213-J238)/AñosOperacion)*PorcentajeCubierto</f>
        <v>0</v>
      </c>
      <c r="K293" s="294"/>
      <c r="L293" s="293">
        <f t="shared" si="18"/>
        <v>0</v>
      </c>
      <c r="M293" s="294"/>
    </row>
    <row r="294" spans="2:13" ht="12.75">
      <c r="B294" s="412" t="str">
        <f>T(serv5)</f>
        <v>  Infecciones Respiratorias Agudas (IRA)</v>
      </c>
      <c r="C294" s="413"/>
      <c r="D294" s="414"/>
      <c r="E294" s="268" t="s">
        <v>346</v>
      </c>
      <c r="F294" s="268"/>
      <c r="G294" s="268"/>
      <c r="H294" s="286">
        <f t="shared" si="17"/>
        <v>0</v>
      </c>
      <c r="I294" s="287"/>
      <c r="J294" s="293">
        <f>H294+((H215-J239)/AñosOperacion)*PorcentajeCubierto</f>
        <v>0</v>
      </c>
      <c r="K294" s="294"/>
      <c r="L294" s="293">
        <f t="shared" si="18"/>
        <v>0</v>
      </c>
      <c r="M294" s="294"/>
    </row>
    <row r="295" spans="2:13" ht="12.75">
      <c r="B295" s="412" t="str">
        <f>T(serv6)</f>
        <v>   Crecimiento y Desarrollo</v>
      </c>
      <c r="C295" s="413"/>
      <c r="D295" s="414"/>
      <c r="E295" s="268" t="s">
        <v>346</v>
      </c>
      <c r="F295" s="268"/>
      <c r="G295" s="268"/>
      <c r="H295" s="286">
        <f t="shared" si="17"/>
        <v>0</v>
      </c>
      <c r="I295" s="287"/>
      <c r="J295" s="293">
        <f>H295+((H217-J240)/AñosOperacion)*PorcentajeCubierto</f>
        <v>0</v>
      </c>
      <c r="K295" s="294"/>
      <c r="L295" s="293">
        <f t="shared" si="18"/>
        <v>0</v>
      </c>
      <c r="M295" s="294"/>
    </row>
    <row r="296" spans="2:13" ht="12.75">
      <c r="B296" s="412" t="str">
        <f>T(serv7)</f>
        <v>   Salud Sexual y Reproductiva</v>
      </c>
      <c r="C296" s="413"/>
      <c r="D296" s="414"/>
      <c r="E296" s="268" t="s">
        <v>346</v>
      </c>
      <c r="F296" s="268"/>
      <c r="G296" s="268"/>
      <c r="H296" s="286">
        <f t="shared" si="17"/>
        <v>0</v>
      </c>
      <c r="I296" s="287"/>
      <c r="J296" s="293">
        <f>H296+((H219-J241)/AñosOperacion)*PorcentajeCubierto</f>
        <v>0</v>
      </c>
      <c r="K296" s="294"/>
      <c r="L296" s="293">
        <f t="shared" si="18"/>
        <v>0</v>
      </c>
      <c r="M296" s="294"/>
    </row>
    <row r="297" spans="2:13" ht="12.75">
      <c r="B297" s="412" t="str">
        <f>T(serv8)</f>
        <v>   Tuberculosis</v>
      </c>
      <c r="C297" s="413"/>
      <c r="D297" s="414"/>
      <c r="E297" s="268" t="s">
        <v>346</v>
      </c>
      <c r="F297" s="268"/>
      <c r="G297" s="268"/>
      <c r="H297" s="286">
        <f t="shared" si="17"/>
        <v>0</v>
      </c>
      <c r="I297" s="287"/>
      <c r="J297" s="293">
        <f>H297+((H221-J242)/AñosOperacion)*PorcentajeCubierto</f>
        <v>0</v>
      </c>
      <c r="K297" s="294"/>
      <c r="L297" s="293">
        <f t="shared" si="18"/>
        <v>0</v>
      </c>
      <c r="M297" s="294"/>
    </row>
    <row r="298" spans="2:13" ht="12.75">
      <c r="B298" s="412" t="str">
        <f>T(serv9)</f>
        <v>  Programa Ampliado de Inmunización (PAI)</v>
      </c>
      <c r="C298" s="413"/>
      <c r="D298" s="414"/>
      <c r="E298" s="268" t="s">
        <v>346</v>
      </c>
      <c r="F298" s="268"/>
      <c r="G298" s="268"/>
      <c r="H298" s="286">
        <f t="shared" si="17"/>
        <v>0</v>
      </c>
      <c r="I298" s="287"/>
      <c r="J298" s="293">
        <f>H298+((H223-J243)/AñosOperacion)*PorcentajeCubierto</f>
        <v>0</v>
      </c>
      <c r="K298" s="294"/>
      <c r="L298" s="293">
        <f t="shared" si="18"/>
        <v>0</v>
      </c>
      <c r="M298" s="294"/>
    </row>
    <row r="299" spans="2:13" ht="12.75">
      <c r="B299" s="412" t="str">
        <f>T(serv10)</f>
        <v>Otros Ingresos Seguro Básico de Salud</v>
      </c>
      <c r="C299" s="413"/>
      <c r="D299" s="414"/>
      <c r="E299" s="268" t="s">
        <v>346</v>
      </c>
      <c r="F299" s="268"/>
      <c r="G299" s="268"/>
      <c r="H299" s="286">
        <f t="shared" si="17"/>
        <v>0</v>
      </c>
      <c r="I299" s="287"/>
      <c r="J299" s="293">
        <f>H299+((H225-J244)/AñosOperacion)*PorcentajeCubierto</f>
        <v>0</v>
      </c>
      <c r="K299" s="294"/>
      <c r="L299" s="293">
        <f t="shared" si="18"/>
        <v>0</v>
      </c>
      <c r="M299" s="294"/>
    </row>
    <row r="300" spans="2:13" ht="12.75">
      <c r="B300" s="412" t="str">
        <f>T(serv11)</f>
        <v>Ingresos Propios</v>
      </c>
      <c r="C300" s="413"/>
      <c r="D300" s="414"/>
      <c r="E300" s="268" t="s">
        <v>346</v>
      </c>
      <c r="F300" s="268"/>
      <c r="G300" s="268"/>
      <c r="H300" s="286">
        <f t="shared" si="17"/>
        <v>0</v>
      </c>
      <c r="I300" s="287"/>
      <c r="J300" s="293">
        <f>H300+((H227-J245)/AñosOperacion)*PorcentajeCubierto</f>
        <v>0</v>
      </c>
      <c r="K300" s="294"/>
      <c r="L300" s="293">
        <f t="shared" si="18"/>
        <v>0</v>
      </c>
      <c r="M300" s="294"/>
    </row>
    <row r="301" spans="2:13" ht="13.5" thickBot="1">
      <c r="B301" s="419" t="str">
        <f>T(serv12)</f>
        <v>Otro</v>
      </c>
      <c r="C301" s="420"/>
      <c r="D301" s="421"/>
      <c r="E301" s="288" t="s">
        <v>346</v>
      </c>
      <c r="F301" s="288"/>
      <c r="G301" s="288"/>
      <c r="H301" s="286">
        <f t="shared" si="17"/>
        <v>0</v>
      </c>
      <c r="I301" s="287"/>
      <c r="J301" s="293">
        <f>H301+((H229-J246)/AñosOperacion)*PorcentajeCubierto</f>
        <v>0</v>
      </c>
      <c r="K301" s="294"/>
      <c r="L301" s="293">
        <f t="shared" si="18"/>
        <v>0</v>
      </c>
      <c r="M301" s="294"/>
    </row>
    <row r="302" spans="6:13" ht="13.5" thickBot="1">
      <c r="F302" s="500" t="s">
        <v>50</v>
      </c>
      <c r="G302" s="501"/>
      <c r="H302" s="270">
        <f>SUM(H290:I301)</f>
        <v>0</v>
      </c>
      <c r="I302" s="502"/>
      <c r="J302" s="498">
        <f>SUM(J290:K301)</f>
        <v>0</v>
      </c>
      <c r="K302" s="499">
        <f>SUM(K290:M301)</f>
        <v>0</v>
      </c>
      <c r="L302" s="498">
        <f>J302-H302</f>
        <v>0</v>
      </c>
      <c r="M302" s="499"/>
    </row>
    <row r="304" ht="15">
      <c r="B304" s="61" t="s">
        <v>82</v>
      </c>
    </row>
    <row r="305" spans="2:13" ht="29.25" customHeight="1" thickBot="1">
      <c r="B305" s="447" t="s">
        <v>61</v>
      </c>
      <c r="C305" s="448"/>
      <c r="D305" s="448"/>
      <c r="E305" s="449"/>
      <c r="F305" s="449"/>
      <c r="G305" s="450"/>
      <c r="H305" s="497" t="s">
        <v>210</v>
      </c>
      <c r="I305" s="449"/>
      <c r="J305" s="449"/>
      <c r="K305" s="449"/>
      <c r="L305" s="449"/>
      <c r="M305" s="450"/>
    </row>
    <row r="306" spans="2:13" ht="12.75">
      <c r="B306" s="451" t="s">
        <v>62</v>
      </c>
      <c r="C306" s="452"/>
      <c r="D306" s="453"/>
      <c r="E306" s="335"/>
      <c r="F306" s="335"/>
      <c r="G306" s="335"/>
      <c r="H306" s="488"/>
      <c r="I306" s="489"/>
      <c r="J306" s="489"/>
      <c r="K306" s="489"/>
      <c r="L306" s="489"/>
      <c r="M306" s="490"/>
    </row>
    <row r="307" spans="2:13" ht="12.75">
      <c r="B307" s="439"/>
      <c r="C307" s="454"/>
      <c r="D307" s="441"/>
      <c r="E307" s="335"/>
      <c r="F307" s="335"/>
      <c r="G307" s="335"/>
      <c r="H307" s="491"/>
      <c r="I307" s="492"/>
      <c r="J307" s="492"/>
      <c r="K307" s="492"/>
      <c r="L307" s="492"/>
      <c r="M307" s="493"/>
    </row>
    <row r="308" spans="2:13" ht="12.75">
      <c r="B308" s="442"/>
      <c r="C308" s="443"/>
      <c r="D308" s="444"/>
      <c r="E308" s="335"/>
      <c r="F308" s="335"/>
      <c r="G308" s="335"/>
      <c r="H308" s="494"/>
      <c r="I308" s="495"/>
      <c r="J308" s="495"/>
      <c r="K308" s="495"/>
      <c r="L308" s="495"/>
      <c r="M308" s="496"/>
    </row>
    <row r="309" spans="2:13" ht="12.75">
      <c r="B309" s="436" t="s">
        <v>207</v>
      </c>
      <c r="C309" s="437"/>
      <c r="D309" s="438"/>
      <c r="E309" s="408"/>
      <c r="F309" s="409"/>
      <c r="G309" s="410"/>
      <c r="H309" s="488"/>
      <c r="I309" s="489"/>
      <c r="J309" s="489"/>
      <c r="K309" s="489"/>
      <c r="L309" s="489"/>
      <c r="M309" s="490"/>
    </row>
    <row r="310" spans="2:13" ht="12.75">
      <c r="B310" s="439"/>
      <c r="C310" s="440"/>
      <c r="D310" s="441"/>
      <c r="E310" s="408"/>
      <c r="F310" s="409"/>
      <c r="G310" s="410"/>
      <c r="H310" s="491"/>
      <c r="I310" s="492"/>
      <c r="J310" s="492"/>
      <c r="K310" s="492"/>
      <c r="L310" s="492"/>
      <c r="M310" s="493"/>
    </row>
    <row r="311" spans="2:13" ht="12.75">
      <c r="B311" s="442"/>
      <c r="C311" s="443"/>
      <c r="D311" s="444"/>
      <c r="E311" s="408"/>
      <c r="F311" s="409"/>
      <c r="G311" s="410"/>
      <c r="H311" s="494"/>
      <c r="I311" s="495"/>
      <c r="J311" s="495"/>
      <c r="K311" s="495"/>
      <c r="L311" s="495"/>
      <c r="M311" s="496"/>
    </row>
    <row r="312" spans="2:13" ht="12.75">
      <c r="B312" s="436" t="s">
        <v>208</v>
      </c>
      <c r="C312" s="437"/>
      <c r="D312" s="438"/>
      <c r="E312" s="408"/>
      <c r="F312" s="409"/>
      <c r="G312" s="410"/>
      <c r="H312" s="488"/>
      <c r="I312" s="489"/>
      <c r="J312" s="489"/>
      <c r="K312" s="489"/>
      <c r="L312" s="489"/>
      <c r="M312" s="490"/>
    </row>
    <row r="313" spans="2:13" ht="12.75">
      <c r="B313" s="439"/>
      <c r="C313" s="440"/>
      <c r="D313" s="441"/>
      <c r="E313" s="408"/>
      <c r="F313" s="409"/>
      <c r="G313" s="410"/>
      <c r="H313" s="491"/>
      <c r="I313" s="492"/>
      <c r="J313" s="492"/>
      <c r="K313" s="492"/>
      <c r="L313" s="492"/>
      <c r="M313" s="493"/>
    </row>
    <row r="314" spans="2:13" ht="12.75">
      <c r="B314" s="442"/>
      <c r="C314" s="443"/>
      <c r="D314" s="444"/>
      <c r="E314" s="408"/>
      <c r="F314" s="409"/>
      <c r="G314" s="410"/>
      <c r="H314" s="494"/>
      <c r="I314" s="495"/>
      <c r="J314" s="495"/>
      <c r="K314" s="495"/>
      <c r="L314" s="495"/>
      <c r="M314" s="496"/>
    </row>
    <row r="320" ht="18">
      <c r="B320" s="23" t="s">
        <v>184</v>
      </c>
    </row>
    <row r="321" spans="2:12" ht="12.75">
      <c r="B321" s="455" t="s">
        <v>128</v>
      </c>
      <c r="C321" s="456"/>
      <c r="D321" s="461" t="s">
        <v>129</v>
      </c>
      <c r="E321" s="430" t="s">
        <v>130</v>
      </c>
      <c r="F321" s="430" t="s">
        <v>131</v>
      </c>
      <c r="G321" s="428" t="s">
        <v>132</v>
      </c>
      <c r="H321" s="362" t="s">
        <v>133</v>
      </c>
      <c r="I321" s="362"/>
      <c r="J321" s="90"/>
      <c r="K321" s="423" t="s">
        <v>134</v>
      </c>
      <c r="L321" s="424"/>
    </row>
    <row r="322" spans="2:12" ht="12.75">
      <c r="B322" s="457"/>
      <c r="C322" s="458"/>
      <c r="D322" s="462"/>
      <c r="E322" s="431"/>
      <c r="F322" s="431"/>
      <c r="G322" s="429"/>
      <c r="H322" s="92" t="s">
        <v>152</v>
      </c>
      <c r="I322" s="93" t="s">
        <v>153</v>
      </c>
      <c r="J322" s="90"/>
      <c r="K322" s="425"/>
      <c r="L322" s="426"/>
    </row>
    <row r="323" spans="2:12" ht="15" customHeight="1">
      <c r="B323" s="446" t="s">
        <v>135</v>
      </c>
      <c r="C323" s="304"/>
      <c r="D323" s="112" t="b">
        <v>0</v>
      </c>
      <c r="E323" s="112" t="b">
        <v>0</v>
      </c>
      <c r="F323" s="112" t="b">
        <v>0</v>
      </c>
      <c r="G323" s="112" t="b">
        <v>0</v>
      </c>
      <c r="H323" s="113" t="b">
        <v>0</v>
      </c>
      <c r="I323" s="114" t="b">
        <v>0</v>
      </c>
      <c r="J323" s="90"/>
      <c r="K323" s="427">
        <v>4</v>
      </c>
      <c r="L323" s="427"/>
    </row>
    <row r="324" spans="2:12" ht="15" customHeight="1">
      <c r="B324" s="432" t="s">
        <v>136</v>
      </c>
      <c r="C324" s="433"/>
      <c r="D324" s="115" t="b">
        <v>0</v>
      </c>
      <c r="E324" s="115" t="b">
        <v>0</v>
      </c>
      <c r="F324" s="115" t="b">
        <v>0</v>
      </c>
      <c r="G324" s="115" t="b">
        <v>0</v>
      </c>
      <c r="H324" s="116" t="b">
        <v>0</v>
      </c>
      <c r="I324" s="117" t="b">
        <v>0</v>
      </c>
      <c r="J324" s="90"/>
      <c r="K324" s="427"/>
      <c r="L324" s="427"/>
    </row>
    <row r="325" spans="2:11" ht="15" customHeight="1">
      <c r="B325" s="432" t="s">
        <v>137</v>
      </c>
      <c r="C325" s="433"/>
      <c r="D325" s="115" t="b">
        <v>0</v>
      </c>
      <c r="E325" s="115" t="b">
        <v>0</v>
      </c>
      <c r="F325" s="115" t="b">
        <v>0</v>
      </c>
      <c r="G325" s="115" t="b">
        <v>0</v>
      </c>
      <c r="H325" s="116" t="b">
        <v>0</v>
      </c>
      <c r="I325" s="117" t="b">
        <v>0</v>
      </c>
      <c r="J325" s="90"/>
      <c r="K325" s="90"/>
    </row>
    <row r="326" spans="2:9" ht="15" customHeight="1">
      <c r="B326" s="432" t="s">
        <v>138</v>
      </c>
      <c r="C326" s="433"/>
      <c r="D326" s="115" t="b">
        <v>0</v>
      </c>
      <c r="E326" s="115" t="b">
        <v>0</v>
      </c>
      <c r="F326" s="115" t="b">
        <v>0</v>
      </c>
      <c r="G326" s="115" t="b">
        <v>0</v>
      </c>
      <c r="H326" s="118" t="b">
        <v>0</v>
      </c>
      <c r="I326" s="119" t="b">
        <v>0</v>
      </c>
    </row>
    <row r="327" spans="2:9" ht="15" customHeight="1">
      <c r="B327" s="434" t="s">
        <v>139</v>
      </c>
      <c r="C327" s="435"/>
      <c r="D327" s="120" t="b">
        <v>0</v>
      </c>
      <c r="E327" s="120" t="b">
        <v>0</v>
      </c>
      <c r="F327" s="120" t="b">
        <v>0</v>
      </c>
      <c r="G327" s="120" t="b">
        <v>0</v>
      </c>
      <c r="H327" s="121" t="b">
        <v>0</v>
      </c>
      <c r="I327" s="122" t="b">
        <v>0</v>
      </c>
    </row>
    <row r="329" ht="18">
      <c r="B329" s="23" t="s">
        <v>140</v>
      </c>
    </row>
    <row r="340" spans="2:14" ht="12.75">
      <c r="B340" s="101" t="s">
        <v>141</v>
      </c>
      <c r="C340" s="101"/>
      <c r="D340" s="101"/>
      <c r="E340" s="101"/>
      <c r="F340" s="101"/>
      <c r="G340" s="102"/>
      <c r="H340" s="101" t="s">
        <v>150</v>
      </c>
      <c r="I340" s="101"/>
      <c r="J340" s="101"/>
      <c r="K340" s="101"/>
      <c r="L340" s="101"/>
      <c r="M340" s="102"/>
      <c r="N340" s="170"/>
    </row>
    <row r="341" spans="2:14" ht="12.75">
      <c r="B341" s="101" t="s">
        <v>142</v>
      </c>
      <c r="C341" s="101"/>
      <c r="D341" s="101"/>
      <c r="E341" s="101"/>
      <c r="F341" s="101"/>
      <c r="G341" s="102"/>
      <c r="H341" s="101" t="s">
        <v>151</v>
      </c>
      <c r="I341" s="101"/>
      <c r="J341" s="101"/>
      <c r="K341" s="101"/>
      <c r="L341" s="101"/>
      <c r="M341" s="102"/>
      <c r="N341" s="170"/>
    </row>
    <row r="342" spans="2:14" ht="12.75">
      <c r="B342" s="103" t="s">
        <v>143</v>
      </c>
      <c r="C342" s="422" t="s">
        <v>144</v>
      </c>
      <c r="D342" s="422"/>
      <c r="E342" s="422"/>
      <c r="F342" s="422"/>
      <c r="G342" s="102"/>
      <c r="H342" s="103" t="s">
        <v>143</v>
      </c>
      <c r="I342" s="422" t="s">
        <v>144</v>
      </c>
      <c r="J342" s="422"/>
      <c r="K342" s="422"/>
      <c r="L342" s="422"/>
      <c r="M342" s="102"/>
      <c r="N342" s="170"/>
    </row>
    <row r="343" spans="2:14" ht="12.75">
      <c r="B343" s="103" t="s">
        <v>145</v>
      </c>
      <c r="C343" s="104">
        <v>1</v>
      </c>
      <c r="D343" s="104">
        <v>2</v>
      </c>
      <c r="E343" s="104">
        <v>3</v>
      </c>
      <c r="F343" s="104">
        <v>4</v>
      </c>
      <c r="G343" s="102"/>
      <c r="H343" s="103" t="s">
        <v>145</v>
      </c>
      <c r="I343" s="104">
        <v>1</v>
      </c>
      <c r="J343" s="104">
        <v>2</v>
      </c>
      <c r="K343" s="104">
        <v>3</v>
      </c>
      <c r="L343" s="104">
        <v>4</v>
      </c>
      <c r="M343" s="102"/>
      <c r="N343" s="170"/>
    </row>
    <row r="344" spans="2:14" ht="12.75">
      <c r="B344" s="103" t="s">
        <v>146</v>
      </c>
      <c r="C344" s="105">
        <v>0.01</v>
      </c>
      <c r="D344" s="105">
        <v>0.007</v>
      </c>
      <c r="E344" s="105">
        <v>0.005</v>
      </c>
      <c r="F344" s="105">
        <v>0</v>
      </c>
      <c r="G344" s="102"/>
      <c r="H344" s="103" t="s">
        <v>146</v>
      </c>
      <c r="I344" s="105">
        <v>0.025</v>
      </c>
      <c r="J344" s="105">
        <v>0.0175</v>
      </c>
      <c r="K344" s="105">
        <v>0.0125</v>
      </c>
      <c r="L344" s="105">
        <v>0</v>
      </c>
      <c r="M344" s="102"/>
      <c r="N344" s="170"/>
    </row>
    <row r="345" spans="2:14" ht="12.75">
      <c r="B345" s="103" t="s">
        <v>147</v>
      </c>
      <c r="C345" s="105">
        <v>0.009</v>
      </c>
      <c r="D345" s="105">
        <v>0.006</v>
      </c>
      <c r="E345" s="105">
        <v>0.004</v>
      </c>
      <c r="F345" s="105">
        <v>0</v>
      </c>
      <c r="G345" s="102"/>
      <c r="H345" s="103" t="s">
        <v>147</v>
      </c>
      <c r="I345" s="105">
        <v>0.0225</v>
      </c>
      <c r="J345" s="105">
        <v>0.015</v>
      </c>
      <c r="K345" s="105">
        <v>0.01</v>
      </c>
      <c r="L345" s="105">
        <v>0</v>
      </c>
      <c r="M345" s="102"/>
      <c r="N345" s="170"/>
    </row>
    <row r="346" spans="2:14" ht="12.75">
      <c r="B346" s="103" t="s">
        <v>148</v>
      </c>
      <c r="C346" s="105">
        <v>0.008</v>
      </c>
      <c r="D346" s="105">
        <v>0.005</v>
      </c>
      <c r="E346" s="105">
        <v>0</v>
      </c>
      <c r="F346" s="105">
        <v>0</v>
      </c>
      <c r="G346" s="102"/>
      <c r="H346" s="103" t="s">
        <v>148</v>
      </c>
      <c r="I346" s="105">
        <v>0.02</v>
      </c>
      <c r="J346" s="105">
        <v>0.0125</v>
      </c>
      <c r="K346" s="105">
        <v>0</v>
      </c>
      <c r="L346" s="105">
        <v>0</v>
      </c>
      <c r="M346" s="102"/>
      <c r="N346" s="170"/>
    </row>
    <row r="347" spans="2:14" ht="12.75">
      <c r="B347" s="103" t="s">
        <v>149</v>
      </c>
      <c r="C347" s="105">
        <v>0.007</v>
      </c>
      <c r="D347" s="105">
        <v>0</v>
      </c>
      <c r="E347" s="105">
        <v>0</v>
      </c>
      <c r="F347" s="105">
        <v>0</v>
      </c>
      <c r="G347" s="102"/>
      <c r="H347" s="103" t="s">
        <v>149</v>
      </c>
      <c r="I347" s="105">
        <v>0.0175</v>
      </c>
      <c r="J347" s="105">
        <v>0</v>
      </c>
      <c r="K347" s="105">
        <v>0</v>
      </c>
      <c r="L347" s="105">
        <v>0</v>
      </c>
      <c r="M347" s="102"/>
      <c r="N347" s="170"/>
    </row>
    <row r="348" spans="2:14" ht="12.75">
      <c r="B348" s="168"/>
      <c r="C348" s="168"/>
      <c r="D348" s="168"/>
      <c r="E348" s="168"/>
      <c r="F348" s="168"/>
      <c r="G348" s="169"/>
      <c r="H348" s="169"/>
      <c r="I348" s="169"/>
      <c r="J348" s="169"/>
      <c r="K348" s="169"/>
      <c r="L348" s="169"/>
      <c r="M348" s="169"/>
      <c r="N348" s="170"/>
    </row>
  </sheetData>
  <sheetProtection sheet="1" objects="1" scenarios="1"/>
  <mergeCells count="526">
    <mergeCell ref="F247:H247"/>
    <mergeCell ref="I232:I234"/>
    <mergeCell ref="J232:J234"/>
    <mergeCell ref="K191:L191"/>
    <mergeCell ref="E236:F236"/>
    <mergeCell ref="E237:F237"/>
    <mergeCell ref="G232:G234"/>
    <mergeCell ref="E235:F235"/>
    <mergeCell ref="G195:H195"/>
    <mergeCell ref="I195:J195"/>
    <mergeCell ref="L297:M297"/>
    <mergeCell ref="M191:N191"/>
    <mergeCell ref="M192:N192"/>
    <mergeCell ref="M193:N193"/>
    <mergeCell ref="M194:N194"/>
    <mergeCell ref="K192:L192"/>
    <mergeCell ref="K193:L193"/>
    <mergeCell ref="K194:L194"/>
    <mergeCell ref="K195:L195"/>
    <mergeCell ref="M195:N195"/>
    <mergeCell ref="M196:N196"/>
    <mergeCell ref="D196:F196"/>
    <mergeCell ref="D197:F197"/>
    <mergeCell ref="D226:F227"/>
    <mergeCell ref="K196:L196"/>
    <mergeCell ref="G196:H196"/>
    <mergeCell ref="I196:J196"/>
    <mergeCell ref="M197:N197"/>
    <mergeCell ref="G197:H197"/>
    <mergeCell ref="I197:J197"/>
    <mergeCell ref="L299:M299"/>
    <mergeCell ref="L300:M300"/>
    <mergeCell ref="H298:I298"/>
    <mergeCell ref="H299:I299"/>
    <mergeCell ref="H300:I300"/>
    <mergeCell ref="J298:K298"/>
    <mergeCell ref="J299:K299"/>
    <mergeCell ref="J300:K300"/>
    <mergeCell ref="L298:M298"/>
    <mergeCell ref="B216:C217"/>
    <mergeCell ref="B218:C219"/>
    <mergeCell ref="B220:C221"/>
    <mergeCell ref="B222:C223"/>
    <mergeCell ref="H232:H234"/>
    <mergeCell ref="B224:C225"/>
    <mergeCell ref="B226:C227"/>
    <mergeCell ref="D230:F230"/>
    <mergeCell ref="D224:F225"/>
    <mergeCell ref="I191:J191"/>
    <mergeCell ref="I192:J192"/>
    <mergeCell ref="I193:J193"/>
    <mergeCell ref="I194:J194"/>
    <mergeCell ref="G191:H191"/>
    <mergeCell ref="G192:H192"/>
    <mergeCell ref="G193:H193"/>
    <mergeCell ref="G194:H194"/>
    <mergeCell ref="L176:M176"/>
    <mergeCell ref="L177:M177"/>
    <mergeCell ref="L178:M178"/>
    <mergeCell ref="L179:M179"/>
    <mergeCell ref="B256:C256"/>
    <mergeCell ref="L180:M180"/>
    <mergeCell ref="L181:M181"/>
    <mergeCell ref="L182:M182"/>
    <mergeCell ref="B191:C191"/>
    <mergeCell ref="B192:C192"/>
    <mergeCell ref="B193:C193"/>
    <mergeCell ref="B194:C194"/>
    <mergeCell ref="B195:C195"/>
    <mergeCell ref="B238:C238"/>
    <mergeCell ref="B255:C255"/>
    <mergeCell ref="B239:C239"/>
    <mergeCell ref="D192:F192"/>
    <mergeCell ref="D193:F193"/>
    <mergeCell ref="D194:F194"/>
    <mergeCell ref="D195:F195"/>
    <mergeCell ref="E238:F238"/>
    <mergeCell ref="E232:F234"/>
    <mergeCell ref="B208:C209"/>
    <mergeCell ref="D222:F223"/>
    <mergeCell ref="I179:K179"/>
    <mergeCell ref="I180:K180"/>
    <mergeCell ref="I181:K181"/>
    <mergeCell ref="I182:K182"/>
    <mergeCell ref="D181:E181"/>
    <mergeCell ref="D182:E182"/>
    <mergeCell ref="F176:G176"/>
    <mergeCell ref="F177:G177"/>
    <mergeCell ref="F178:G178"/>
    <mergeCell ref="F179:G179"/>
    <mergeCell ref="F180:G180"/>
    <mergeCell ref="F181:G181"/>
    <mergeCell ref="F182:G182"/>
    <mergeCell ref="B259:C259"/>
    <mergeCell ref="D171:E171"/>
    <mergeCell ref="D172:E172"/>
    <mergeCell ref="D173:E173"/>
    <mergeCell ref="D174:E174"/>
    <mergeCell ref="D208:F209"/>
    <mergeCell ref="D210:F211"/>
    <mergeCell ref="D212:F213"/>
    <mergeCell ref="B175:C175"/>
    <mergeCell ref="B176:C176"/>
    <mergeCell ref="L157:N157"/>
    <mergeCell ref="L158:N158"/>
    <mergeCell ref="L159:N159"/>
    <mergeCell ref="L160:N160"/>
    <mergeCell ref="B258:C258"/>
    <mergeCell ref="L161:N161"/>
    <mergeCell ref="L162:N162"/>
    <mergeCell ref="L163:N163"/>
    <mergeCell ref="B178:C178"/>
    <mergeCell ref="B179:C179"/>
    <mergeCell ref="B180:C180"/>
    <mergeCell ref="B181:C181"/>
    <mergeCell ref="D175:E175"/>
    <mergeCell ref="D180:E180"/>
    <mergeCell ref="B166:E166"/>
    <mergeCell ref="B167:E167"/>
    <mergeCell ref="D232:D234"/>
    <mergeCell ref="D185:F185"/>
    <mergeCell ref="B228:C229"/>
    <mergeCell ref="D206:F207"/>
    <mergeCell ref="D176:E176"/>
    <mergeCell ref="D177:E177"/>
    <mergeCell ref="D178:E178"/>
    <mergeCell ref="D179:E179"/>
    <mergeCell ref="B187:C187"/>
    <mergeCell ref="B246:C246"/>
    <mergeCell ref="B242:C242"/>
    <mergeCell ref="B243:C243"/>
    <mergeCell ref="B210:C211"/>
    <mergeCell ref="B196:C196"/>
    <mergeCell ref="B197:C197"/>
    <mergeCell ref="B206:C207"/>
    <mergeCell ref="B244:C244"/>
    <mergeCell ref="B245:C245"/>
    <mergeCell ref="B161:E161"/>
    <mergeCell ref="B162:E162"/>
    <mergeCell ref="F160:H160"/>
    <mergeCell ref="B252:C252"/>
    <mergeCell ref="B177:C177"/>
    <mergeCell ref="B182:C182"/>
    <mergeCell ref="B171:C171"/>
    <mergeCell ref="B172:C172"/>
    <mergeCell ref="B173:C173"/>
    <mergeCell ref="B174:C174"/>
    <mergeCell ref="F161:H161"/>
    <mergeCell ref="F162:H162"/>
    <mergeCell ref="I161:K161"/>
    <mergeCell ref="I162:K162"/>
    <mergeCell ref="I156:K156"/>
    <mergeCell ref="B160:E160"/>
    <mergeCell ref="B157:E157"/>
    <mergeCell ref="B158:E158"/>
    <mergeCell ref="B159:E159"/>
    <mergeCell ref="I160:K160"/>
    <mergeCell ref="I157:K157"/>
    <mergeCell ref="I158:K158"/>
    <mergeCell ref="I159:K159"/>
    <mergeCell ref="F157:H157"/>
    <mergeCell ref="F158:H158"/>
    <mergeCell ref="F159:H159"/>
    <mergeCell ref="E147:N147"/>
    <mergeCell ref="L156:N156"/>
    <mergeCell ref="F155:H155"/>
    <mergeCell ref="I154:K154"/>
    <mergeCell ref="I155:K155"/>
    <mergeCell ref="L154:N154"/>
    <mergeCell ref="L155:N155"/>
    <mergeCell ref="B155:E155"/>
    <mergeCell ref="B156:E156"/>
    <mergeCell ref="F156:H156"/>
    <mergeCell ref="D187:F187"/>
    <mergeCell ref="D188:F188"/>
    <mergeCell ref="G186:H186"/>
    <mergeCell ref="D186:F186"/>
    <mergeCell ref="G185:H185"/>
    <mergeCell ref="B184:F184"/>
    <mergeCell ref="B185:C185"/>
    <mergeCell ref="B186:C186"/>
    <mergeCell ref="B143:D143"/>
    <mergeCell ref="F152:H152"/>
    <mergeCell ref="F154:H154"/>
    <mergeCell ref="B154:E154"/>
    <mergeCell ref="B153:E153"/>
    <mergeCell ref="B144:D144"/>
    <mergeCell ref="E144:I144"/>
    <mergeCell ref="B147:D147"/>
    <mergeCell ref="I152:K152"/>
    <mergeCell ref="J143:K143"/>
    <mergeCell ref="B261:C261"/>
    <mergeCell ref="B262:C262"/>
    <mergeCell ref="D190:F190"/>
    <mergeCell ref="D189:F189"/>
    <mergeCell ref="B253:C253"/>
    <mergeCell ref="B189:C189"/>
    <mergeCell ref="E246:F246"/>
    <mergeCell ref="D191:F191"/>
    <mergeCell ref="D228:F229"/>
    <mergeCell ref="B257:C257"/>
    <mergeCell ref="K136:K138"/>
    <mergeCell ref="E146:I146"/>
    <mergeCell ref="L146:M146"/>
    <mergeCell ref="J145:K145"/>
    <mergeCell ref="L145:M145"/>
    <mergeCell ref="J146:K146"/>
    <mergeCell ref="J144:K144"/>
    <mergeCell ref="L144:M144"/>
    <mergeCell ref="E145:I145"/>
    <mergeCell ref="E143:I143"/>
    <mergeCell ref="H306:M308"/>
    <mergeCell ref="H309:M311"/>
    <mergeCell ref="E309:G309"/>
    <mergeCell ref="B293:D293"/>
    <mergeCell ref="B294:D294"/>
    <mergeCell ref="B298:D298"/>
    <mergeCell ref="E295:G295"/>
    <mergeCell ref="E296:G296"/>
    <mergeCell ref="E297:G297"/>
    <mergeCell ref="E298:G298"/>
    <mergeCell ref="H312:M314"/>
    <mergeCell ref="E299:G299"/>
    <mergeCell ref="E300:G300"/>
    <mergeCell ref="H305:M305"/>
    <mergeCell ref="L301:M301"/>
    <mergeCell ref="L302:M302"/>
    <mergeCell ref="J302:K302"/>
    <mergeCell ref="F302:G302"/>
    <mergeCell ref="H302:I302"/>
    <mergeCell ref="J301:K301"/>
    <mergeCell ref="K197:L197"/>
    <mergeCell ref="E84:G84"/>
    <mergeCell ref="B145:D145"/>
    <mergeCell ref="F175:G175"/>
    <mergeCell ref="F174:G174"/>
    <mergeCell ref="B126:M126"/>
    <mergeCell ref="H130:J130"/>
    <mergeCell ref="B152:E152"/>
    <mergeCell ref="L152:N152"/>
    <mergeCell ref="L136:L138"/>
    <mergeCell ref="I173:K173"/>
    <mergeCell ref="E81:F81"/>
    <mergeCell ref="F166:H166"/>
    <mergeCell ref="E85:G85"/>
    <mergeCell ref="E86:G86"/>
    <mergeCell ref="B122:M122"/>
    <mergeCell ref="B123:M123"/>
    <mergeCell ref="B124:M124"/>
    <mergeCell ref="B125:M125"/>
    <mergeCell ref="B146:D146"/>
    <mergeCell ref="B321:C322"/>
    <mergeCell ref="B297:D297"/>
    <mergeCell ref="F173:G173"/>
    <mergeCell ref="B188:C188"/>
    <mergeCell ref="B190:C190"/>
    <mergeCell ref="D321:D322"/>
    <mergeCell ref="B203:C205"/>
    <mergeCell ref="B236:C236"/>
    <mergeCell ref="B237:C237"/>
    <mergeCell ref="E290:G290"/>
    <mergeCell ref="E314:G314"/>
    <mergeCell ref="E313:G313"/>
    <mergeCell ref="B305:G305"/>
    <mergeCell ref="E312:G312"/>
    <mergeCell ref="B309:D311"/>
    <mergeCell ref="B306:D308"/>
    <mergeCell ref="E306:G306"/>
    <mergeCell ref="E307:G307"/>
    <mergeCell ref="E308:G308"/>
    <mergeCell ref="E310:G310"/>
    <mergeCell ref="B326:C326"/>
    <mergeCell ref="B327:C327"/>
    <mergeCell ref="B212:C213"/>
    <mergeCell ref="B312:D314"/>
    <mergeCell ref="B214:C215"/>
    <mergeCell ref="B290:D290"/>
    <mergeCell ref="B291:D291"/>
    <mergeCell ref="B232:C234"/>
    <mergeCell ref="B235:C235"/>
    <mergeCell ref="B323:C323"/>
    <mergeCell ref="C342:F342"/>
    <mergeCell ref="I342:L342"/>
    <mergeCell ref="K321:L322"/>
    <mergeCell ref="K323:L324"/>
    <mergeCell ref="G321:G322"/>
    <mergeCell ref="H321:I321"/>
    <mergeCell ref="E321:E322"/>
    <mergeCell ref="F321:F322"/>
    <mergeCell ref="B324:C324"/>
    <mergeCell ref="B325:C325"/>
    <mergeCell ref="E311:G311"/>
    <mergeCell ref="B292:D292"/>
    <mergeCell ref="E292:G292"/>
    <mergeCell ref="B289:D289"/>
    <mergeCell ref="E289:G289"/>
    <mergeCell ref="B296:D296"/>
    <mergeCell ref="B299:D299"/>
    <mergeCell ref="B300:D300"/>
    <mergeCell ref="B301:D301"/>
    <mergeCell ref="B295:D295"/>
    <mergeCell ref="E245:F245"/>
    <mergeCell ref="E242:F242"/>
    <mergeCell ref="E243:F243"/>
    <mergeCell ref="B240:C240"/>
    <mergeCell ref="B241:C241"/>
    <mergeCell ref="E240:F240"/>
    <mergeCell ref="E241:F241"/>
    <mergeCell ref="I174:K174"/>
    <mergeCell ref="I186:J186"/>
    <mergeCell ref="I187:J187"/>
    <mergeCell ref="K185:L185"/>
    <mergeCell ref="L175:M175"/>
    <mergeCell ref="M185:N185"/>
    <mergeCell ref="K186:L186"/>
    <mergeCell ref="I176:K176"/>
    <mergeCell ref="I177:K177"/>
    <mergeCell ref="I178:K178"/>
    <mergeCell ref="M186:N186"/>
    <mergeCell ref="I175:K175"/>
    <mergeCell ref="I185:J185"/>
    <mergeCell ref="I166:K166"/>
    <mergeCell ref="I167:K167"/>
    <mergeCell ref="L167:N167"/>
    <mergeCell ref="L174:M174"/>
    <mergeCell ref="L173:M173"/>
    <mergeCell ref="L171:M171"/>
    <mergeCell ref="L172:M172"/>
    <mergeCell ref="I171:K171"/>
    <mergeCell ref="I172:K172"/>
    <mergeCell ref="B169:F169"/>
    <mergeCell ref="F172:G172"/>
    <mergeCell ref="B170:C170"/>
    <mergeCell ref="F170:G170"/>
    <mergeCell ref="F171:G171"/>
    <mergeCell ref="L165:N165"/>
    <mergeCell ref="I165:K165"/>
    <mergeCell ref="E168:F168"/>
    <mergeCell ref="L170:M170"/>
    <mergeCell ref="D170:E170"/>
    <mergeCell ref="F165:H165"/>
    <mergeCell ref="L166:N166"/>
    <mergeCell ref="I170:K170"/>
    <mergeCell ref="F167:H167"/>
    <mergeCell ref="B165:E165"/>
    <mergeCell ref="B163:E163"/>
    <mergeCell ref="I164:K164"/>
    <mergeCell ref="F164:H164"/>
    <mergeCell ref="B164:E164"/>
    <mergeCell ref="F163:H163"/>
    <mergeCell ref="I163:K163"/>
    <mergeCell ref="L164:N164"/>
    <mergeCell ref="I151:K151"/>
    <mergeCell ref="I153:K153"/>
    <mergeCell ref="E149:F149"/>
    <mergeCell ref="L151:N151"/>
    <mergeCell ref="L153:N153"/>
    <mergeCell ref="F151:H151"/>
    <mergeCell ref="F153:H153"/>
    <mergeCell ref="B150:F150"/>
    <mergeCell ref="B151:E151"/>
    <mergeCell ref="L143:M143"/>
    <mergeCell ref="B35:G35"/>
    <mergeCell ref="B138:C138"/>
    <mergeCell ref="B139:C139"/>
    <mergeCell ref="B136:C136"/>
    <mergeCell ref="B134:F134"/>
    <mergeCell ref="B135:C135"/>
    <mergeCell ref="B137:C137"/>
    <mergeCell ref="D135:L135"/>
    <mergeCell ref="B90:D90"/>
    <mergeCell ref="E90:G90"/>
    <mergeCell ref="M189:N189"/>
    <mergeCell ref="K187:L187"/>
    <mergeCell ref="K188:L188"/>
    <mergeCell ref="K189:L189"/>
    <mergeCell ref="M187:N187"/>
    <mergeCell ref="M188:N188"/>
    <mergeCell ref="E183:F183"/>
    <mergeCell ref="H90:I90"/>
    <mergeCell ref="J90:K90"/>
    <mergeCell ref="G187:H187"/>
    <mergeCell ref="H91:I91"/>
    <mergeCell ref="J91:K91"/>
    <mergeCell ref="B107:M107"/>
    <mergeCell ref="B108:M108"/>
    <mergeCell ref="B109:M109"/>
    <mergeCell ref="B110:M110"/>
    <mergeCell ref="B92:D92"/>
    <mergeCell ref="E92:G92"/>
    <mergeCell ref="H92:I92"/>
    <mergeCell ref="G188:H188"/>
    <mergeCell ref="G189:H189"/>
    <mergeCell ref="K190:L190"/>
    <mergeCell ref="I189:J189"/>
    <mergeCell ref="G190:H190"/>
    <mergeCell ref="I190:J190"/>
    <mergeCell ref="I188:J188"/>
    <mergeCell ref="M190:N190"/>
    <mergeCell ref="E7:F7"/>
    <mergeCell ref="E34:F34"/>
    <mergeCell ref="E32:F32"/>
    <mergeCell ref="E31:F31"/>
    <mergeCell ref="B8:F8"/>
    <mergeCell ref="B16:I17"/>
    <mergeCell ref="B29:G29"/>
    <mergeCell ref="B91:D91"/>
    <mergeCell ref="E91:G91"/>
    <mergeCell ref="J92:K92"/>
    <mergeCell ref="B93:D93"/>
    <mergeCell ref="E93:G93"/>
    <mergeCell ref="H93:I93"/>
    <mergeCell ref="J93:K93"/>
    <mergeCell ref="B94:D94"/>
    <mergeCell ref="E94:G94"/>
    <mergeCell ref="H94:I94"/>
    <mergeCell ref="J94:K94"/>
    <mergeCell ref="B95:D95"/>
    <mergeCell ref="E95:G95"/>
    <mergeCell ref="H95:I95"/>
    <mergeCell ref="J95:K95"/>
    <mergeCell ref="B96:D96"/>
    <mergeCell ref="E96:G96"/>
    <mergeCell ref="H96:I96"/>
    <mergeCell ref="J96:K96"/>
    <mergeCell ref="B97:D97"/>
    <mergeCell ref="E97:G97"/>
    <mergeCell ref="H97:I97"/>
    <mergeCell ref="J97:K97"/>
    <mergeCell ref="B62:E62"/>
    <mergeCell ref="B63:E63"/>
    <mergeCell ref="B60:E60"/>
    <mergeCell ref="B61:E61"/>
    <mergeCell ref="B66:E66"/>
    <mergeCell ref="B67:E67"/>
    <mergeCell ref="B64:E64"/>
    <mergeCell ref="B65:E65"/>
    <mergeCell ref="B68:E68"/>
    <mergeCell ref="B71:E71"/>
    <mergeCell ref="E75:F75"/>
    <mergeCell ref="B72:E72"/>
    <mergeCell ref="F68:K68"/>
    <mergeCell ref="F71:K71"/>
    <mergeCell ref="F72:K72"/>
    <mergeCell ref="I75:J75"/>
    <mergeCell ref="F60:K60"/>
    <mergeCell ref="F61:K61"/>
    <mergeCell ref="F62:K62"/>
    <mergeCell ref="F63:K63"/>
    <mergeCell ref="I76:J76"/>
    <mergeCell ref="I77:J77"/>
    <mergeCell ref="E77:F77"/>
    <mergeCell ref="E76:F76"/>
    <mergeCell ref="I78:J78"/>
    <mergeCell ref="I79:J79"/>
    <mergeCell ref="E80:F80"/>
    <mergeCell ref="I80:J80"/>
    <mergeCell ref="E78:F78"/>
    <mergeCell ref="E79:F79"/>
    <mergeCell ref="F132:G132"/>
    <mergeCell ref="B116:M116"/>
    <mergeCell ref="B117:M117"/>
    <mergeCell ref="B118:M118"/>
    <mergeCell ref="B119:M119"/>
    <mergeCell ref="F128:G128"/>
    <mergeCell ref="F130:G130"/>
    <mergeCell ref="J297:K297"/>
    <mergeCell ref="H293:I293"/>
    <mergeCell ref="H294:I294"/>
    <mergeCell ref="H295:I295"/>
    <mergeCell ref="H296:I296"/>
    <mergeCell ref="H297:I297"/>
    <mergeCell ref="J293:K293"/>
    <mergeCell ref="J294:K294"/>
    <mergeCell ref="J295:K295"/>
    <mergeCell ref="J296:K296"/>
    <mergeCell ref="J289:K289"/>
    <mergeCell ref="J290:K290"/>
    <mergeCell ref="J291:K291"/>
    <mergeCell ref="J292:K292"/>
    <mergeCell ref="L289:M289"/>
    <mergeCell ref="L290:M290"/>
    <mergeCell ref="L291:M291"/>
    <mergeCell ref="L296:M296"/>
    <mergeCell ref="L292:M292"/>
    <mergeCell ref="L293:M293"/>
    <mergeCell ref="L294:M294"/>
    <mergeCell ref="L295:M295"/>
    <mergeCell ref="B111:M111"/>
    <mergeCell ref="H301:I301"/>
    <mergeCell ref="E301:G301"/>
    <mergeCell ref="H289:I289"/>
    <mergeCell ref="H290:I290"/>
    <mergeCell ref="H291:I291"/>
    <mergeCell ref="H292:I292"/>
    <mergeCell ref="E293:G293"/>
    <mergeCell ref="E294:G294"/>
    <mergeCell ref="E291:G291"/>
    <mergeCell ref="B115:M115"/>
    <mergeCell ref="D220:F221"/>
    <mergeCell ref="D214:F215"/>
    <mergeCell ref="F64:K64"/>
    <mergeCell ref="F65:K65"/>
    <mergeCell ref="F66:K66"/>
    <mergeCell ref="F67:K67"/>
    <mergeCell ref="D216:F217"/>
    <mergeCell ref="D218:F219"/>
    <mergeCell ref="I81:J81"/>
    <mergeCell ref="B23:D23"/>
    <mergeCell ref="F23:H23"/>
    <mergeCell ref="F45:G46"/>
    <mergeCell ref="F47:G48"/>
    <mergeCell ref="H45:H46"/>
    <mergeCell ref="H47:H48"/>
    <mergeCell ref="F43:G44"/>
    <mergeCell ref="H43:H44"/>
    <mergeCell ref="B265:D265"/>
    <mergeCell ref="D203:F205"/>
    <mergeCell ref="G203:G204"/>
    <mergeCell ref="H203:H204"/>
    <mergeCell ref="B254:C254"/>
    <mergeCell ref="B263:C263"/>
    <mergeCell ref="B260:C260"/>
    <mergeCell ref="B249:C251"/>
    <mergeCell ref="E239:F239"/>
    <mergeCell ref="E244:F244"/>
  </mergeCells>
  <printOptions/>
  <pageMargins left="0.65" right="0.75" top="0.78" bottom="1" header="0.5118110236220472" footer="0.5118110236220472"/>
  <pageSetup fitToHeight="6" horizontalDpi="360" verticalDpi="360" orientation="portrait" scale="72" r:id="rId4"/>
  <headerFooter alignWithMargins="0">
    <oddFooter>&amp;L&amp;D&amp;R&amp;P de &amp;N</oddFooter>
  </headerFooter>
  <rowBreaks count="6" manualBreakCount="6">
    <brk id="50" max="14" man="1"/>
    <brk id="98" max="255" man="1"/>
    <brk id="148" max="14" man="1"/>
    <brk id="199" max="14" man="1"/>
    <brk id="264" max="14" man="1"/>
    <brk id="34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8:K29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140625" style="0" customWidth="1"/>
    <col min="2" max="16384" width="9.140625" style="0" customWidth="1"/>
  </cols>
  <sheetData>
    <row r="1" ht="18" customHeight="1"/>
    <row r="2" ht="18" customHeight="1"/>
    <row r="3" ht="18" customHeight="1"/>
    <row r="4" ht="18" customHeight="1"/>
    <row r="5" ht="13.5" customHeight="1"/>
    <row r="8" spans="2:11" ht="20.25">
      <c r="B8" s="63" t="s">
        <v>356</v>
      </c>
      <c r="C8" s="51"/>
      <c r="D8" s="51"/>
      <c r="E8" s="51"/>
      <c r="F8" s="51"/>
      <c r="G8" s="51"/>
      <c r="H8" s="51"/>
      <c r="I8" s="51"/>
      <c r="J8" s="51"/>
      <c r="K8" s="51"/>
    </row>
    <row r="9" spans="2:11" ht="12.75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2:11" ht="12.75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15">
      <c r="B11" s="61" t="s">
        <v>83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2:11" ht="12.75"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2:11" ht="12.75"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2:11" ht="12.75"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2:11" ht="12.75"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2:11" ht="15">
      <c r="B17" s="61" t="s">
        <v>84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2:11" ht="15">
      <c r="B18" s="61"/>
      <c r="C18" s="51"/>
      <c r="D18" s="51"/>
      <c r="E18" s="51"/>
      <c r="F18" s="51"/>
      <c r="G18" s="51"/>
      <c r="H18" s="51"/>
      <c r="I18" s="51"/>
      <c r="J18" s="51"/>
      <c r="K18" s="51"/>
    </row>
    <row r="19" spans="2:11" ht="15">
      <c r="B19" s="61"/>
      <c r="C19" s="51"/>
      <c r="D19" s="51"/>
      <c r="E19" s="51"/>
      <c r="F19" s="51"/>
      <c r="G19" s="51"/>
      <c r="H19" s="51"/>
      <c r="I19" s="51"/>
      <c r="J19" s="51"/>
      <c r="K19" s="51"/>
    </row>
    <row r="20" spans="2:11" ht="12.75">
      <c r="B20" s="60"/>
      <c r="C20" s="51"/>
      <c r="D20" s="51"/>
      <c r="E20" s="51"/>
      <c r="F20" s="51"/>
      <c r="G20" s="51"/>
      <c r="H20" s="51"/>
      <c r="I20" s="51"/>
      <c r="J20" s="51"/>
      <c r="K20" s="51"/>
    </row>
    <row r="21" spans="2:11" ht="12.75">
      <c r="B21" s="60"/>
      <c r="C21" s="51"/>
      <c r="D21" s="51"/>
      <c r="E21" s="51"/>
      <c r="F21" s="51"/>
      <c r="G21" s="51"/>
      <c r="H21" s="51"/>
      <c r="I21" s="51"/>
      <c r="J21" s="51"/>
      <c r="K21" s="51"/>
    </row>
    <row r="22" spans="2:11" ht="15">
      <c r="B22" s="61" t="s">
        <v>85</v>
      </c>
      <c r="C22" s="51"/>
      <c r="D22" s="51"/>
      <c r="E22" s="51"/>
      <c r="F22" s="51"/>
      <c r="G22" s="51"/>
      <c r="H22" s="51"/>
      <c r="I22" s="51"/>
      <c r="J22" s="51"/>
      <c r="K22" s="51"/>
    </row>
    <row r="23" spans="2:11" ht="15">
      <c r="B23" s="61"/>
      <c r="C23" s="51"/>
      <c r="D23" s="51"/>
      <c r="E23" s="51"/>
      <c r="F23" s="51"/>
      <c r="G23" s="51"/>
      <c r="H23" s="51"/>
      <c r="I23" s="51"/>
      <c r="J23" s="51"/>
      <c r="K23" s="51"/>
    </row>
    <row r="24" spans="2:11" ht="15">
      <c r="B24" s="61"/>
      <c r="C24" s="51"/>
      <c r="D24" s="51"/>
      <c r="E24" s="51"/>
      <c r="F24" s="51"/>
      <c r="G24" s="51"/>
      <c r="H24" s="51"/>
      <c r="I24" s="51"/>
      <c r="J24" s="51"/>
      <c r="K24" s="51"/>
    </row>
    <row r="25" spans="2:11" ht="15">
      <c r="B25" s="61"/>
      <c r="C25" s="51"/>
      <c r="D25" s="51"/>
      <c r="E25" s="51"/>
      <c r="F25" s="51"/>
      <c r="G25" s="51"/>
      <c r="H25" s="51"/>
      <c r="I25" s="51"/>
      <c r="J25" s="51"/>
      <c r="K25" s="51"/>
    </row>
    <row r="26" spans="2:11" ht="12.75">
      <c r="B26" s="60"/>
      <c r="C26" s="51"/>
      <c r="D26" s="51"/>
      <c r="E26" s="51"/>
      <c r="F26" s="51"/>
      <c r="G26" s="51"/>
      <c r="H26" s="51"/>
      <c r="I26" s="51"/>
      <c r="J26" s="51"/>
      <c r="K26" s="51"/>
    </row>
    <row r="27" spans="2:11" ht="12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2:11" ht="12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2:11" ht="12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sheetProtection sheet="1" objects="1" scenarios="1"/>
  <printOptions horizontalCentered="1"/>
  <pageMargins left="0.75" right="0.75" top="1" bottom="1" header="0.5118110236220472" footer="0.5118110236220472"/>
  <pageSetup fitToHeight="3" horizontalDpi="300" verticalDpi="300" orientation="landscape" scale="91" r:id="rId3"/>
  <headerFooter alignWithMargins="0">
    <oddFooter>&amp;L&amp;D&amp;R&amp;P de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H118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13.57421875" style="0" customWidth="1"/>
    <col min="3" max="3" width="23.421875" style="0" customWidth="1"/>
    <col min="4" max="4" width="12.7109375" style="30" customWidth="1"/>
    <col min="5" max="5" width="12.28125" style="0" bestFit="1" customWidth="1"/>
  </cols>
  <sheetData>
    <row r="1" ht="18" customHeight="1">
      <c r="B1" s="199" t="b">
        <v>0</v>
      </c>
    </row>
    <row r="2" ht="18" customHeight="1"/>
    <row r="3" ht="18" customHeight="1"/>
    <row r="4" ht="18" customHeight="1"/>
    <row r="5" ht="12" customHeight="1"/>
    <row r="6" ht="12.75"/>
    <row r="7" ht="12.75"/>
    <row r="8" ht="18.75" thickBot="1">
      <c r="B8" s="23" t="s">
        <v>86</v>
      </c>
    </row>
    <row r="9" spans="2:5" ht="13.5" thickBot="1">
      <c r="B9" s="598" t="s">
        <v>105</v>
      </c>
      <c r="C9" s="599"/>
      <c r="D9" s="599"/>
      <c r="E9" s="131">
        <v>0.1281</v>
      </c>
    </row>
    <row r="10" ht="12.75">
      <c r="D10"/>
    </row>
    <row r="11" spans="2:5" ht="12.75">
      <c r="B11" s="25"/>
      <c r="C11" s="25"/>
      <c r="D11" s="25"/>
      <c r="E11" s="29"/>
    </row>
    <row r="12" ht="12.75"/>
    <row r="13" ht="18.75" thickBot="1">
      <c r="B13" s="63"/>
    </row>
    <row r="14" spans="2:5" ht="43.5" customHeight="1" thickBot="1">
      <c r="B14" s="158" t="s">
        <v>157</v>
      </c>
      <c r="C14" s="246" t="s">
        <v>291</v>
      </c>
      <c r="D14" s="158" t="s">
        <v>334</v>
      </c>
      <c r="E14" s="192"/>
    </row>
    <row r="15" ht="12.75"/>
    <row r="16" ht="18">
      <c r="B16" s="23"/>
    </row>
    <row r="17" ht="15.75" thickBot="1">
      <c r="B17" s="61" t="s">
        <v>89</v>
      </c>
    </row>
    <row r="18" spans="2:7" ht="12.75" customHeight="1">
      <c r="B18" s="620" t="s">
        <v>28</v>
      </c>
      <c r="C18" s="621"/>
      <c r="D18" s="614" t="s">
        <v>225</v>
      </c>
      <c r="E18" s="584" t="s">
        <v>48</v>
      </c>
      <c r="F18" s="585"/>
      <c r="G18" s="34"/>
    </row>
    <row r="19" spans="2:6" ht="12" customHeight="1">
      <c r="B19" s="622"/>
      <c r="C19" s="623"/>
      <c r="D19" s="615"/>
      <c r="E19" s="163">
        <v>0</v>
      </c>
      <c r="F19" s="588" t="s">
        <v>47</v>
      </c>
    </row>
    <row r="20" spans="2:6" ht="12.75" customHeight="1">
      <c r="B20" s="624"/>
      <c r="C20" s="625"/>
      <c r="D20" s="616"/>
      <c r="E20" s="163">
        <f>AñoBase</f>
        <v>2008</v>
      </c>
      <c r="F20" s="589"/>
    </row>
    <row r="21" spans="2:6" ht="12.75">
      <c r="B21" s="591" t="str">
        <f>T(serv1)</f>
        <v>   Atención Prenatal</v>
      </c>
      <c r="C21" s="592"/>
      <c r="D21" s="164"/>
      <c r="E21" s="178">
        <f>PREPARACION!E252*PorcentajeCubierto*'EVALUACION PRIVADA'!$D21</f>
        <v>0</v>
      </c>
      <c r="F21" s="32">
        <f>SUM(E21:E21)</f>
        <v>0</v>
      </c>
    </row>
    <row r="22" spans="2:6" ht="12.75">
      <c r="B22" s="591" t="str">
        <f>T(serv2)</f>
        <v>   Atención de Parto</v>
      </c>
      <c r="C22" s="592"/>
      <c r="D22" s="164"/>
      <c r="E22" s="178">
        <f>PREPARACION!E253*PorcentajeCubierto*'EVALUACION PRIVADA'!$D22</f>
        <v>0</v>
      </c>
      <c r="F22" s="32">
        <f>SUM(E22:E22)</f>
        <v>0</v>
      </c>
    </row>
    <row r="23" spans="2:6" ht="12.75">
      <c r="B23" s="591" t="str">
        <f>T(serv3)</f>
        <v>   Atención Post-Parto</v>
      </c>
      <c r="C23" s="592"/>
      <c r="D23" s="164"/>
      <c r="E23" s="178">
        <f>PREPARACION!E254*PorcentajeCubierto*'EVALUACION PRIVADA'!$D23</f>
        <v>0</v>
      </c>
      <c r="F23" s="32">
        <f>SUM(E23:E23)</f>
        <v>0</v>
      </c>
    </row>
    <row r="24" spans="2:6" ht="12.75">
      <c r="B24" s="591" t="str">
        <f>T(serv4)</f>
        <v>  Enfermedades Digestivas Agudas (EDA)</v>
      </c>
      <c r="C24" s="592"/>
      <c r="D24" s="164"/>
      <c r="E24" s="178">
        <f>PREPARACION!E255*PorcentajeCubierto*'EVALUACION PRIVADA'!$D24</f>
        <v>0</v>
      </c>
      <c r="F24" s="32">
        <f>SUM(E24:E24)</f>
        <v>0</v>
      </c>
    </row>
    <row r="25" spans="2:6" ht="12.75">
      <c r="B25" s="591" t="str">
        <f>T(serv5)</f>
        <v>  Infecciones Respiratorias Agudas (IRA)</v>
      </c>
      <c r="C25" s="592"/>
      <c r="D25" s="164"/>
      <c r="E25" s="178">
        <f>PREPARACION!E256*PorcentajeCubierto*'EVALUACION PRIVADA'!$D25</f>
        <v>0</v>
      </c>
      <c r="F25" s="32">
        <f aca="true" t="shared" si="0" ref="F25:F31">SUM(E25:E25)</f>
        <v>0</v>
      </c>
    </row>
    <row r="26" spans="2:6" ht="12.75">
      <c r="B26" s="591" t="str">
        <f>T(serv6)</f>
        <v>   Crecimiento y Desarrollo</v>
      </c>
      <c r="C26" s="592"/>
      <c r="D26" s="164"/>
      <c r="E26" s="178">
        <f>PREPARACION!E257*PorcentajeCubierto*'EVALUACION PRIVADA'!$D26</f>
        <v>0</v>
      </c>
      <c r="F26" s="32">
        <f t="shared" si="0"/>
        <v>0</v>
      </c>
    </row>
    <row r="27" spans="2:6" ht="12.75">
      <c r="B27" s="591" t="str">
        <f>T(serv7)</f>
        <v>   Salud Sexual y Reproductiva</v>
      </c>
      <c r="C27" s="592"/>
      <c r="D27" s="164"/>
      <c r="E27" s="178">
        <f>PREPARACION!E258*PorcentajeCubierto*'EVALUACION PRIVADA'!$D27</f>
        <v>0</v>
      </c>
      <c r="F27" s="32">
        <f t="shared" si="0"/>
        <v>0</v>
      </c>
    </row>
    <row r="28" spans="2:6" ht="12.75">
      <c r="B28" s="591" t="str">
        <f>T(serv8)</f>
        <v>   Tuberculosis</v>
      </c>
      <c r="C28" s="592"/>
      <c r="D28" s="164"/>
      <c r="E28" s="178">
        <f>PREPARACION!E259*PorcentajeCubierto*'EVALUACION PRIVADA'!$D28</f>
        <v>0</v>
      </c>
      <c r="F28" s="32">
        <f t="shared" si="0"/>
        <v>0</v>
      </c>
    </row>
    <row r="29" spans="2:6" ht="12.75">
      <c r="B29" s="591" t="str">
        <f>T(serv9)</f>
        <v>  Programa Ampliado de Inmunización (PAI)</v>
      </c>
      <c r="C29" s="592"/>
      <c r="D29" s="164"/>
      <c r="E29" s="178">
        <f>PREPARACION!E260*PorcentajeCubierto*'EVALUACION PRIVADA'!$D29</f>
        <v>0</v>
      </c>
      <c r="F29" s="32">
        <f t="shared" si="0"/>
        <v>0</v>
      </c>
    </row>
    <row r="30" spans="2:6" ht="12.75">
      <c r="B30" s="591" t="str">
        <f>T(serv10)</f>
        <v>Otros Ingresos Seguro Básico de Salud</v>
      </c>
      <c r="C30" s="592"/>
      <c r="D30" s="164"/>
      <c r="E30" s="178">
        <f>PREPARACION!E261*PorcentajeCubierto*'EVALUACION PRIVADA'!$D30</f>
        <v>0</v>
      </c>
      <c r="F30" s="32">
        <f t="shared" si="0"/>
        <v>0</v>
      </c>
    </row>
    <row r="31" spans="2:6" ht="12.75">
      <c r="B31" s="591" t="str">
        <f>T(serv11)</f>
        <v>Ingresos Propios</v>
      </c>
      <c r="C31" s="592"/>
      <c r="D31" s="164"/>
      <c r="E31" s="178">
        <f>PREPARACION!E262*PorcentajeCubierto*'EVALUACION PRIVADA'!$D31</f>
        <v>0</v>
      </c>
      <c r="F31" s="32">
        <f t="shared" si="0"/>
        <v>0</v>
      </c>
    </row>
    <row r="32" spans="2:6" ht="12.75">
      <c r="B32" s="591" t="str">
        <f>T(serv12)</f>
        <v>Otro</v>
      </c>
      <c r="C32" s="592"/>
      <c r="D32" s="164"/>
      <c r="E32" s="178">
        <f>PREPARACION!E263*PorcentajeCubierto*'EVALUACION PRIVADA'!$D32</f>
        <v>0</v>
      </c>
      <c r="F32" s="32">
        <f>SUM(E32:E32)</f>
        <v>0</v>
      </c>
    </row>
    <row r="33" spans="2:6" ht="12.75">
      <c r="B33" s="591" t="s">
        <v>246</v>
      </c>
      <c r="C33" s="600"/>
      <c r="D33" s="164"/>
      <c r="E33" s="166"/>
      <c r="F33" s="32">
        <f>SUM(E33:E33)</f>
        <v>0</v>
      </c>
    </row>
    <row r="34" spans="2:6" ht="13.5" thickBot="1">
      <c r="B34" s="617" t="s">
        <v>59</v>
      </c>
      <c r="C34" s="618"/>
      <c r="D34" s="619"/>
      <c r="E34" s="177">
        <f>SUM(E21:E33)</f>
        <v>0</v>
      </c>
      <c r="F34" s="27">
        <f>SUM(F21:F33)</f>
        <v>0</v>
      </c>
    </row>
    <row r="35" ht="12.75"/>
    <row r="36" ht="12.75"/>
    <row r="37" ht="15.75" thickBot="1">
      <c r="B37" s="61" t="s">
        <v>88</v>
      </c>
    </row>
    <row r="38" spans="2:6" ht="12.75">
      <c r="B38" s="603" t="s">
        <v>106</v>
      </c>
      <c r="C38" s="604"/>
      <c r="D38" s="586" t="s">
        <v>48</v>
      </c>
      <c r="E38" s="587"/>
      <c r="F38" s="35"/>
    </row>
    <row r="39" spans="2:5" ht="12.75">
      <c r="B39" s="605"/>
      <c r="C39" s="606"/>
      <c r="D39" s="28">
        <v>0</v>
      </c>
      <c r="E39" s="590" t="s">
        <v>47</v>
      </c>
    </row>
    <row r="40" spans="2:5" ht="12.75">
      <c r="B40" s="605"/>
      <c r="C40" s="606"/>
      <c r="D40" s="28">
        <f>AñoBase</f>
        <v>2008</v>
      </c>
      <c r="E40" s="590"/>
    </row>
    <row r="41" spans="2:5" ht="12.75">
      <c r="B41" s="608" t="s">
        <v>64</v>
      </c>
      <c r="C41" s="609"/>
      <c r="D41" s="68"/>
      <c r="E41" s="70"/>
    </row>
    <row r="42" spans="2:5" ht="12.75">
      <c r="B42" s="601" t="s">
        <v>176</v>
      </c>
      <c r="C42" s="602"/>
      <c r="D42" s="152"/>
      <c r="E42" s="210">
        <f>SUM(D42:D42)</f>
        <v>0</v>
      </c>
    </row>
    <row r="43" spans="2:5" ht="12.75">
      <c r="B43" s="601" t="s">
        <v>57</v>
      </c>
      <c r="C43" s="602"/>
      <c r="D43" s="206">
        <f>SUM(D44:D45)*CambioInversion</f>
        <v>0</v>
      </c>
      <c r="E43" s="210">
        <f>SUM(D43:D43)</f>
        <v>0</v>
      </c>
    </row>
    <row r="44" spans="2:5" ht="12.75">
      <c r="B44" s="576" t="s">
        <v>63</v>
      </c>
      <c r="C44" s="577"/>
      <c r="D44" s="153"/>
      <c r="E44" s="210"/>
    </row>
    <row r="45" spans="2:5" ht="12.75">
      <c r="B45" s="551" t="s">
        <v>109</v>
      </c>
      <c r="C45" s="552"/>
      <c r="D45" s="153"/>
      <c r="E45" s="210"/>
    </row>
    <row r="46" spans="2:5" ht="12.75">
      <c r="B46" s="610" t="s">
        <v>58</v>
      </c>
      <c r="C46" s="611"/>
      <c r="D46" s="206">
        <f>D47+D54</f>
        <v>0</v>
      </c>
      <c r="E46" s="210">
        <f>SUM(D46:D46)</f>
        <v>0</v>
      </c>
    </row>
    <row r="47" spans="2:5" ht="12.75">
      <c r="B47" s="515" t="s">
        <v>311</v>
      </c>
      <c r="C47" s="516"/>
      <c r="D47" s="206">
        <f>SUM(D48:D53)*CambioInversion</f>
        <v>0</v>
      </c>
      <c r="E47" s="210">
        <f>SUM(D47:D47)</f>
        <v>0</v>
      </c>
    </row>
    <row r="48" spans="2:5" ht="12.75">
      <c r="B48" s="578" t="s">
        <v>63</v>
      </c>
      <c r="C48" s="579"/>
      <c r="D48" s="153"/>
      <c r="E48" s="210"/>
    </row>
    <row r="49" spans="2:5" ht="12.75">
      <c r="B49" s="580" t="s">
        <v>109</v>
      </c>
      <c r="C49" s="581"/>
      <c r="D49" s="153"/>
      <c r="E49" s="210"/>
    </row>
    <row r="50" spans="2:5" ht="12.75">
      <c r="B50" s="67" t="s">
        <v>107</v>
      </c>
      <c r="C50" s="205"/>
      <c r="D50" s="153"/>
      <c r="E50" s="210"/>
    </row>
    <row r="51" spans="2:5" ht="12.75">
      <c r="B51" s="580" t="s">
        <v>108</v>
      </c>
      <c r="C51" s="581"/>
      <c r="D51" s="153"/>
      <c r="E51" s="210"/>
    </row>
    <row r="52" spans="2:5" ht="12.75">
      <c r="B52" s="382" t="s">
        <v>126</v>
      </c>
      <c r="C52" s="383"/>
      <c r="D52" s="153"/>
      <c r="E52" s="210"/>
    </row>
    <row r="53" spans="2:5" ht="12.75">
      <c r="B53" s="582" t="s">
        <v>110</v>
      </c>
      <c r="C53" s="583"/>
      <c r="D53" s="153"/>
      <c r="E53" s="210"/>
    </row>
    <row r="54" spans="2:5" ht="12.75">
      <c r="B54" s="515" t="s">
        <v>312</v>
      </c>
      <c r="C54" s="516"/>
      <c r="D54" s="206">
        <f>SUM(D55:D60)*CambioInversion</f>
        <v>0</v>
      </c>
      <c r="E54" s="210">
        <f>SUM(D54:D54)</f>
        <v>0</v>
      </c>
    </row>
    <row r="55" spans="2:5" ht="12.75">
      <c r="B55" s="578" t="s">
        <v>63</v>
      </c>
      <c r="C55" s="579"/>
      <c r="D55" s="153"/>
      <c r="E55" s="210"/>
    </row>
    <row r="56" spans="2:5" ht="12.75">
      <c r="B56" s="580" t="s">
        <v>109</v>
      </c>
      <c r="C56" s="581"/>
      <c r="D56" s="153"/>
      <c r="E56" s="210"/>
    </row>
    <row r="57" spans="2:5" ht="12.75">
      <c r="B57" s="67" t="s">
        <v>107</v>
      </c>
      <c r="C57" s="205"/>
      <c r="D57" s="153"/>
      <c r="E57" s="210"/>
    </row>
    <row r="58" spans="2:5" ht="12.75">
      <c r="B58" s="580" t="s">
        <v>108</v>
      </c>
      <c r="C58" s="581"/>
      <c r="D58" s="153"/>
      <c r="E58" s="210"/>
    </row>
    <row r="59" spans="2:5" ht="12.75">
      <c r="B59" s="382" t="s">
        <v>126</v>
      </c>
      <c r="C59" s="383"/>
      <c r="D59" s="153"/>
      <c r="E59" s="210"/>
    </row>
    <row r="60" spans="2:5" ht="12.75">
      <c r="B60" s="382" t="s">
        <v>110</v>
      </c>
      <c r="C60" s="383"/>
      <c r="D60" s="153"/>
      <c r="E60" s="210"/>
    </row>
    <row r="61" spans="2:5" ht="12.75">
      <c r="B61" s="515" t="s">
        <v>44</v>
      </c>
      <c r="C61" s="516"/>
      <c r="D61" s="206">
        <f>SUM(D62:D63)*CambioInversion</f>
        <v>0</v>
      </c>
      <c r="E61" s="210">
        <f>SUM(D61:D61)</f>
        <v>0</v>
      </c>
    </row>
    <row r="62" spans="2:5" ht="12.75">
      <c r="B62" s="382" t="s">
        <v>126</v>
      </c>
      <c r="C62" s="383"/>
      <c r="D62" s="153"/>
      <c r="E62" s="210"/>
    </row>
    <row r="63" spans="2:5" ht="12.75">
      <c r="B63" s="576" t="s">
        <v>110</v>
      </c>
      <c r="C63" s="577"/>
      <c r="D63" s="153"/>
      <c r="E63" s="210"/>
    </row>
    <row r="64" spans="2:5" ht="12.75">
      <c r="B64" s="380" t="s">
        <v>45</v>
      </c>
      <c r="C64" s="607"/>
      <c r="D64" s="206">
        <f>SUM(D65:D66)*CambioInversion</f>
        <v>0</v>
      </c>
      <c r="E64" s="210">
        <f>SUM(D64:D64)</f>
        <v>0</v>
      </c>
    </row>
    <row r="65" spans="2:5" ht="12.75">
      <c r="B65" s="382" t="s">
        <v>126</v>
      </c>
      <c r="C65" s="383"/>
      <c r="D65" s="153"/>
      <c r="E65" s="210"/>
    </row>
    <row r="66" spans="2:5" ht="12.75">
      <c r="B66" s="576" t="s">
        <v>110</v>
      </c>
      <c r="C66" s="577"/>
      <c r="D66" s="153"/>
      <c r="E66" s="210"/>
    </row>
    <row r="67" spans="2:5" ht="12.75">
      <c r="B67" s="380" t="s">
        <v>111</v>
      </c>
      <c r="C67" s="607"/>
      <c r="D67" s="153"/>
      <c r="E67" s="210">
        <f>SUM(D67:D67)</f>
        <v>0</v>
      </c>
    </row>
    <row r="68" spans="2:5" ht="12.75">
      <c r="B68" s="554" t="s">
        <v>49</v>
      </c>
      <c r="C68" s="575"/>
      <c r="D68" s="206">
        <f>(+D43+D47+D54+D61+D64+(D67+D42)*CambioInversion)</f>
        <v>0</v>
      </c>
      <c r="E68" s="210">
        <f>SUM(D68:D68)</f>
        <v>0</v>
      </c>
    </row>
    <row r="69" spans="2:5" ht="12.75">
      <c r="B69" s="71" t="s">
        <v>112</v>
      </c>
      <c r="C69" s="68"/>
      <c r="D69" s="68"/>
      <c r="E69" s="72"/>
    </row>
    <row r="70" spans="2:5" ht="12.75">
      <c r="B70" s="549" t="s">
        <v>113</v>
      </c>
      <c r="C70" s="550"/>
      <c r="D70" s="167"/>
      <c r="E70" s="211">
        <f aca="true" t="shared" si="1" ref="E70:E75">SUM(D70:D70)</f>
        <v>0</v>
      </c>
    </row>
    <row r="71" spans="2:5" ht="12.75">
      <c r="B71" s="549" t="s">
        <v>114</v>
      </c>
      <c r="C71" s="550"/>
      <c r="D71" s="167"/>
      <c r="E71" s="211">
        <f t="shared" si="1"/>
        <v>0</v>
      </c>
    </row>
    <row r="72" spans="2:5" ht="12.75">
      <c r="B72" s="549" t="s">
        <v>115</v>
      </c>
      <c r="C72" s="550"/>
      <c r="D72" s="167"/>
      <c r="E72" s="211">
        <f t="shared" si="1"/>
        <v>0</v>
      </c>
    </row>
    <row r="73" spans="2:5" ht="12.75">
      <c r="B73" s="549" t="s">
        <v>116</v>
      </c>
      <c r="C73" s="550"/>
      <c r="D73" s="167"/>
      <c r="E73" s="211">
        <f t="shared" si="1"/>
        <v>0</v>
      </c>
    </row>
    <row r="74" spans="2:5" ht="12.75">
      <c r="B74" s="382" t="s">
        <v>125</v>
      </c>
      <c r="C74" s="383"/>
      <c r="D74" s="167"/>
      <c r="E74" s="211">
        <f t="shared" si="1"/>
        <v>0</v>
      </c>
    </row>
    <row r="75" spans="2:5" ht="12.75">
      <c r="B75" s="549" t="s">
        <v>117</v>
      </c>
      <c r="C75" s="550"/>
      <c r="D75" s="167"/>
      <c r="E75" s="211">
        <f t="shared" si="1"/>
        <v>0</v>
      </c>
    </row>
    <row r="76" spans="2:5" ht="12.75">
      <c r="B76" s="554" t="s">
        <v>49</v>
      </c>
      <c r="C76" s="555"/>
      <c r="D76" s="207">
        <f>SUM(D70:D75)*CambioOperacion</f>
        <v>0</v>
      </c>
      <c r="E76" s="211">
        <f>SUM(D76:D76)</f>
        <v>0</v>
      </c>
    </row>
    <row r="77" spans="1:7" ht="12.75">
      <c r="A77" s="201">
        <f>IF(B1=TRUE,30000000,30000000/6)</f>
        <v>5000000</v>
      </c>
      <c r="B77" s="89" t="s">
        <v>154</v>
      </c>
      <c r="C77" s="94"/>
      <c r="D77" s="69"/>
      <c r="E77" s="208">
        <f>E76+E68</f>
        <v>0</v>
      </c>
      <c r="G77" s="91">
        <f>D76+D68</f>
        <v>0</v>
      </c>
    </row>
    <row r="78" spans="1:5" ht="12.75" hidden="1">
      <c r="A78" s="201">
        <f>IF(B1=TRUE,60000000,60000000/6)</f>
        <v>10000000</v>
      </c>
      <c r="B78" s="551" t="s">
        <v>155</v>
      </c>
      <c r="C78" s="552"/>
      <c r="D78" s="206">
        <f ca="1">IF(AND(tot1&lt;Rango1,Impacto&gt;0),tot1*OFFSET(emenos30,0,Impacto),IF(AND(tot1&gt;Rango1,tot1&lt;Rango2,Impacto&gt;0),tot1*OFFSET(eentre30_60,0,Impacto),IF(AND(tot1&gt;Rango2,tot1&lt;Rango3,Impacto&gt;0),tot1*OFFSET(eentre60_120,0,Impacto),IF(AND(tot1&gt;Rango3,Impacto&gt;0),tot1*OFFSET(emas120,0,Impacto),0))))</f>
        <v>0</v>
      </c>
      <c r="E78" s="210">
        <f>SUM(D78:D78)</f>
        <v>0</v>
      </c>
    </row>
    <row r="79" spans="1:5" ht="12.75">
      <c r="A79" s="201">
        <f>IF(B1=TRUE,120000000,120000000/6)</f>
        <v>20000000</v>
      </c>
      <c r="B79" s="551" t="s">
        <v>156</v>
      </c>
      <c r="C79" s="552"/>
      <c r="D79" s="206">
        <f ca="1">(IF(AND(tot1&lt;Rango1,Impacto&gt;0),tot1*OFFSET(imenos30,0,Impacto),IF(AND(tot1&gt;Rango1,tot1&lt;Rango2,Impacto&gt;0),tot1*OFFSET(ientre30_60,0,Impacto),IF(AND(tot1&gt;Rango2,tot1&lt;Rango3,Impacto&gt;0),tot1*OFFSET(ientre60_120,0,Impacto),IF(AND(tot1&gt;Rango3,Impacto&gt;0),tot1*OFFSET(imas120,0,Impacto),0)))))/2</f>
        <v>0</v>
      </c>
      <c r="E79" s="210">
        <f>SUM(D79:D79)</f>
        <v>0</v>
      </c>
    </row>
    <row r="80" spans="2:5" ht="13.5" thickBot="1">
      <c r="B80" s="612" t="s">
        <v>49</v>
      </c>
      <c r="C80" s="613"/>
      <c r="D80" s="212">
        <f>SUM(D79:D79)</f>
        <v>0</v>
      </c>
      <c r="E80" s="213">
        <f>SUM(D80:D80)</f>
        <v>0</v>
      </c>
    </row>
    <row r="81" spans="2:5" ht="13.5" thickBot="1">
      <c r="B81" s="556"/>
      <c r="C81" s="556"/>
      <c r="D81" s="31"/>
      <c r="E81" s="2"/>
    </row>
    <row r="82" spans="2:5" ht="13.5" thickBot="1">
      <c r="B82" s="596" t="s">
        <v>50</v>
      </c>
      <c r="C82" s="597"/>
      <c r="D82" s="224">
        <f>+D68+D76+D80</f>
        <v>0</v>
      </c>
      <c r="E82" s="209">
        <f>SUM(D82:D82)</f>
        <v>0</v>
      </c>
    </row>
    <row r="83" ht="12.75">
      <c r="E83" s="30"/>
    </row>
    <row r="84" spans="2:8" ht="12.75" hidden="1">
      <c r="B84" s="595" t="s">
        <v>66</v>
      </c>
      <c r="C84" s="595"/>
      <c r="D84" s="230">
        <f>D82</f>
        <v>0</v>
      </c>
      <c r="F84" s="334" t="s">
        <v>286</v>
      </c>
      <c r="G84" s="334"/>
      <c r="H84" s="189">
        <v>1</v>
      </c>
    </row>
    <row r="85" spans="2:8" ht="12.75" hidden="1">
      <c r="B85" s="553" t="s">
        <v>55</v>
      </c>
      <c r="C85" s="553"/>
      <c r="D85" s="230">
        <f>E34-D82</f>
        <v>0</v>
      </c>
      <c r="F85" s="334" t="s">
        <v>287</v>
      </c>
      <c r="G85" s="334"/>
      <c r="H85" s="189">
        <v>1</v>
      </c>
    </row>
    <row r="86" spans="2:4" ht="12.75" hidden="1">
      <c r="B86" s="553" t="s">
        <v>56</v>
      </c>
      <c r="C86" s="553"/>
      <c r="D86" s="230">
        <f>-PMT(interesprivado,años1,vacp1)</f>
        <v>0</v>
      </c>
    </row>
    <row r="87" spans="2:4" ht="12.75" hidden="1">
      <c r="B87" s="553" t="s">
        <v>279</v>
      </c>
      <c r="C87" s="553"/>
      <c r="D87" s="229"/>
    </row>
    <row r="88" spans="2:7" ht="12.75" hidden="1">
      <c r="B88" s="553" t="s">
        <v>280</v>
      </c>
      <c r="C88" s="553"/>
      <c r="D88" s="230"/>
      <c r="F88" s="187" t="s">
        <v>278</v>
      </c>
      <c r="G88" s="188">
        <f>IF(vaip&lt;&gt;0,vaip/vacp1,0)</f>
        <v>0</v>
      </c>
    </row>
    <row r="89" spans="2:4" ht="12.75" hidden="1">
      <c r="B89" s="595" t="s">
        <v>306</v>
      </c>
      <c r="C89" s="595"/>
      <c r="D89" s="230"/>
    </row>
    <row r="90" spans="2:4" ht="12.75" hidden="1">
      <c r="B90" s="595" t="s">
        <v>307</v>
      </c>
      <c r="C90" s="595"/>
      <c r="D90" s="230"/>
    </row>
    <row r="91" spans="2:4" ht="12.75" hidden="1">
      <c r="B91" s="595" t="s">
        <v>308</v>
      </c>
      <c r="C91" s="595"/>
      <c r="D91" s="230"/>
    </row>
    <row r="92" spans="2:4" ht="12.75" hidden="1">
      <c r="B92" s="595" t="s">
        <v>310</v>
      </c>
      <c r="C92" s="595"/>
      <c r="D92" s="230"/>
    </row>
    <row r="93" spans="2:4" ht="12.75" hidden="1">
      <c r="B93" s="553" t="s">
        <v>309</v>
      </c>
      <c r="C93" s="553"/>
      <c r="D93" s="230">
        <f>-PMT(interesprivado,años1,vacp5)</f>
        <v>0</v>
      </c>
    </row>
    <row r="94" ht="12.75"/>
    <row r="95" spans="2:4" ht="18.75" thickBot="1">
      <c r="B95" s="23" t="s">
        <v>190</v>
      </c>
      <c r="D95"/>
    </row>
    <row r="96" spans="2:5" ht="13.5" thickBot="1">
      <c r="B96" s="559"/>
      <c r="C96" s="560"/>
      <c r="D96" s="565" t="s">
        <v>48</v>
      </c>
      <c r="E96" s="566"/>
    </row>
    <row r="97" spans="2:5" ht="12.75">
      <c r="B97" s="561"/>
      <c r="C97" s="562"/>
      <c r="D97" s="136">
        <v>0</v>
      </c>
      <c r="E97" s="567" t="s">
        <v>47</v>
      </c>
    </row>
    <row r="98" spans="2:5" ht="13.5" thickBot="1">
      <c r="B98" s="563"/>
      <c r="C98" s="564"/>
      <c r="D98" s="163">
        <f>AñoBase</f>
        <v>2008</v>
      </c>
      <c r="E98" s="568"/>
    </row>
    <row r="99" spans="2:5" ht="13.5" thickBot="1">
      <c r="B99" s="569" t="s">
        <v>191</v>
      </c>
      <c r="C99" s="570"/>
      <c r="D99" s="132">
        <f>E34</f>
        <v>0</v>
      </c>
      <c r="E99" s="132">
        <f>SUM(F97:F98)</f>
        <v>0</v>
      </c>
    </row>
    <row r="100" ht="13.5" thickBot="1">
      <c r="D100"/>
    </row>
    <row r="101" spans="2:5" ht="13.5" thickBot="1">
      <c r="B101" s="557" t="s">
        <v>192</v>
      </c>
      <c r="C101" s="558"/>
      <c r="D101" s="132">
        <f>D76</f>
        <v>0</v>
      </c>
      <c r="E101" s="132">
        <f>SUM(D101)</f>
        <v>0</v>
      </c>
    </row>
    <row r="102" spans="2:5" ht="13.5" thickBot="1">
      <c r="B102" s="571" t="s">
        <v>197</v>
      </c>
      <c r="C102" s="572"/>
      <c r="D102" s="133"/>
      <c r="E102" s="132">
        <f>SUM(D102:D102)</f>
        <v>0</v>
      </c>
    </row>
    <row r="103" spans="2:5" ht="13.5" thickBot="1">
      <c r="B103" s="571" t="s">
        <v>194</v>
      </c>
      <c r="C103" s="572"/>
      <c r="D103" s="133"/>
      <c r="E103" s="132">
        <f>SUM(D103:D103)</f>
        <v>0</v>
      </c>
    </row>
    <row r="104" spans="2:5" ht="13.5" thickBot="1">
      <c r="B104" s="593" t="s">
        <v>49</v>
      </c>
      <c r="C104" s="594"/>
      <c r="D104" s="132">
        <f>SUM(D101:D103)</f>
        <v>0</v>
      </c>
      <c r="E104" s="132">
        <f>SUM(D104:D104)</f>
        <v>0</v>
      </c>
    </row>
    <row r="105" ht="13.5" thickBot="1">
      <c r="D105"/>
    </row>
    <row r="106" spans="2:5" ht="13.5" thickBot="1">
      <c r="B106" s="137" t="s">
        <v>195</v>
      </c>
      <c r="C106" s="134"/>
      <c r="D106" s="132">
        <f>IF((D99-D104)*$C$106&gt;0,(D99-D104)*$C$106,0)</f>
        <v>0</v>
      </c>
      <c r="E106" s="132">
        <f>SUM(D106:D106)</f>
        <v>0</v>
      </c>
    </row>
    <row r="107" ht="13.5" thickBot="1">
      <c r="D107"/>
    </row>
    <row r="108" spans="2:5" ht="13.5" thickBot="1">
      <c r="B108" s="557" t="s">
        <v>196</v>
      </c>
      <c r="C108" s="558"/>
      <c r="D108" s="132">
        <f>D68</f>
        <v>0</v>
      </c>
      <c r="E108" s="132">
        <f>SUM(D108)</f>
        <v>0</v>
      </c>
    </row>
    <row r="109" spans="2:5" ht="13.5" thickBot="1">
      <c r="B109" s="571" t="s">
        <v>193</v>
      </c>
      <c r="C109" s="572"/>
      <c r="D109" s="185">
        <f>-D102</f>
        <v>0</v>
      </c>
      <c r="E109" s="185">
        <f>SUM(D109:D109)</f>
        <v>0</v>
      </c>
    </row>
    <row r="110" spans="2:5" ht="13.5" thickBot="1">
      <c r="B110" s="571" t="s">
        <v>229</v>
      </c>
      <c r="C110" s="572"/>
      <c r="D110" s="133"/>
      <c r="E110" s="132">
        <f>SUM(D110:D110)</f>
        <v>0</v>
      </c>
    </row>
    <row r="111" spans="2:6" ht="13.5" thickBot="1">
      <c r="B111" s="573" t="s">
        <v>299</v>
      </c>
      <c r="C111" s="574"/>
      <c r="D111" s="186"/>
      <c r="E111" s="185">
        <f>SUM(D111:D111)</f>
        <v>0</v>
      </c>
      <c r="F111" s="175"/>
    </row>
    <row r="112" spans="2:5" ht="13.5" thickBot="1">
      <c r="B112" s="593" t="s">
        <v>49</v>
      </c>
      <c r="C112" s="594"/>
      <c r="D112" s="132">
        <f>SUM(D108:D111)</f>
        <v>0</v>
      </c>
      <c r="E112" s="132">
        <f>SUM(D112:D112)</f>
        <v>0</v>
      </c>
    </row>
    <row r="113" ht="13.5" thickBot="1">
      <c r="D113"/>
    </row>
    <row r="114" spans="2:5" ht="13.5" thickBot="1">
      <c r="B114" s="557" t="s">
        <v>198</v>
      </c>
      <c r="C114" s="558"/>
      <c r="D114" s="132">
        <f>D80</f>
        <v>0</v>
      </c>
      <c r="E114" s="132">
        <f>SUM(D114:D114)</f>
        <v>0</v>
      </c>
    </row>
    <row r="115" ht="13.5" thickBot="1">
      <c r="D115"/>
    </row>
    <row r="116" spans="2:5" ht="13.5" thickBot="1">
      <c r="B116" s="557" t="s">
        <v>199</v>
      </c>
      <c r="C116" s="558"/>
      <c r="D116" s="132">
        <f>D104+D106+D112+D114</f>
        <v>0</v>
      </c>
      <c r="E116" s="132">
        <f>SUM(D116)</f>
        <v>0</v>
      </c>
    </row>
    <row r="117" spans="2:5" ht="13.5" thickBot="1">
      <c r="B117" s="557" t="s">
        <v>200</v>
      </c>
      <c r="C117" s="558"/>
      <c r="D117" s="135"/>
      <c r="E117" s="132">
        <f>SUM(D117)</f>
        <v>0</v>
      </c>
    </row>
    <row r="118" spans="2:5" ht="13.5" thickBot="1">
      <c r="B118" s="557" t="s">
        <v>201</v>
      </c>
      <c r="C118" s="558"/>
      <c r="D118" s="132">
        <f>D99-D116+D117</f>
        <v>0</v>
      </c>
      <c r="E118" s="132">
        <f>SUM(D118)</f>
        <v>0</v>
      </c>
    </row>
  </sheetData>
  <sheetProtection sheet="1" objects="1" scenarios="1"/>
  <mergeCells count="89">
    <mergeCell ref="B80:C80"/>
    <mergeCell ref="B52:C52"/>
    <mergeCell ref="D18:D20"/>
    <mergeCell ref="B84:C84"/>
    <mergeCell ref="B26:C26"/>
    <mergeCell ref="B27:C27"/>
    <mergeCell ref="B28:C28"/>
    <mergeCell ref="B29:C29"/>
    <mergeCell ref="B34:D34"/>
    <mergeCell ref="B18:C20"/>
    <mergeCell ref="B67:C67"/>
    <mergeCell ref="B41:C41"/>
    <mergeCell ref="B47:C47"/>
    <mergeCell ref="B51:C51"/>
    <mergeCell ref="B46:C46"/>
    <mergeCell ref="B64:C64"/>
    <mergeCell ref="B43:C43"/>
    <mergeCell ref="B55:C55"/>
    <mergeCell ref="B24:C24"/>
    <mergeCell ref="B25:C25"/>
    <mergeCell ref="B31:C31"/>
    <mergeCell ref="B38:C40"/>
    <mergeCell ref="B89:C89"/>
    <mergeCell ref="B82:C82"/>
    <mergeCell ref="B9:D9"/>
    <mergeCell ref="B62:C62"/>
    <mergeCell ref="B63:C63"/>
    <mergeCell ref="B65:C65"/>
    <mergeCell ref="B56:C56"/>
    <mergeCell ref="B44:C44"/>
    <mergeCell ref="B33:C33"/>
    <mergeCell ref="B42:C42"/>
    <mergeCell ref="B103:C103"/>
    <mergeCell ref="B90:C90"/>
    <mergeCell ref="B91:C91"/>
    <mergeCell ref="B93:C93"/>
    <mergeCell ref="B92:C92"/>
    <mergeCell ref="B112:C112"/>
    <mergeCell ref="B114:C114"/>
    <mergeCell ref="B116:C116"/>
    <mergeCell ref="B104:C104"/>
    <mergeCell ref="B108:C108"/>
    <mergeCell ref="B109:C109"/>
    <mergeCell ref="E18:F18"/>
    <mergeCell ref="D38:E38"/>
    <mergeCell ref="F19:F20"/>
    <mergeCell ref="B45:C45"/>
    <mergeCell ref="E39:E40"/>
    <mergeCell ref="B21:C21"/>
    <mergeCell ref="B22:C22"/>
    <mergeCell ref="B30:C30"/>
    <mergeCell ref="B23:C23"/>
    <mergeCell ref="B32:C32"/>
    <mergeCell ref="B68:C68"/>
    <mergeCell ref="B66:C66"/>
    <mergeCell ref="B48:C48"/>
    <mergeCell ref="B49:C49"/>
    <mergeCell ref="B60:C60"/>
    <mergeCell ref="B61:C61"/>
    <mergeCell ref="B59:C59"/>
    <mergeCell ref="B58:C58"/>
    <mergeCell ref="B53:C53"/>
    <mergeCell ref="B54:C54"/>
    <mergeCell ref="B118:C118"/>
    <mergeCell ref="B96:C98"/>
    <mergeCell ref="D96:E96"/>
    <mergeCell ref="E97:E98"/>
    <mergeCell ref="B99:C99"/>
    <mergeCell ref="B117:C117"/>
    <mergeCell ref="B101:C101"/>
    <mergeCell ref="B102:C102"/>
    <mergeCell ref="B110:C110"/>
    <mergeCell ref="B111:C111"/>
    <mergeCell ref="B88:C88"/>
    <mergeCell ref="B73:C73"/>
    <mergeCell ref="B87:C87"/>
    <mergeCell ref="F84:G84"/>
    <mergeCell ref="F85:G85"/>
    <mergeCell ref="B75:C75"/>
    <mergeCell ref="B86:C86"/>
    <mergeCell ref="B76:C76"/>
    <mergeCell ref="B85:C85"/>
    <mergeCell ref="B81:C81"/>
    <mergeCell ref="B72:C72"/>
    <mergeCell ref="B78:C78"/>
    <mergeCell ref="B79:C79"/>
    <mergeCell ref="B70:C70"/>
    <mergeCell ref="B71:C71"/>
    <mergeCell ref="B74:C74"/>
  </mergeCells>
  <printOptions/>
  <pageMargins left="0.52" right="0.75" top="0.58" bottom="1" header="0" footer="0"/>
  <pageSetup fitToHeight="5" horizontalDpi="300" verticalDpi="300" orientation="portrait" scale="79" r:id="rId4"/>
  <headerFooter alignWithMargins="0">
    <oddFooter>&amp;L&amp;D&amp;R&amp;P de &amp;N</oddFooter>
  </headerFooter>
  <rowBreaks count="1" manualBreakCount="1">
    <brk id="6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H84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9.140625" style="0" customWidth="1"/>
    <col min="3" max="3" width="30.140625" style="0" customWidth="1"/>
    <col min="4" max="75" width="13.28125" style="0" customWidth="1"/>
    <col min="76" max="16384" width="9.140625" style="0" customWidth="1"/>
  </cols>
  <sheetData>
    <row r="1" spans="1:60" ht="18" customHeight="1">
      <c r="A1" s="4"/>
      <c r="B1" s="43"/>
      <c r="C1" s="46"/>
      <c r="D1" s="45"/>
      <c r="E1" s="45"/>
      <c r="F1" s="45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8" customHeight="1">
      <c r="A2" s="4"/>
      <c r="B2" s="43"/>
      <c r="C2" s="46"/>
      <c r="D2" s="45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8" customHeight="1">
      <c r="A3" s="4"/>
      <c r="B3" s="42"/>
      <c r="C3" s="5"/>
      <c r="D3" s="5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8" customHeight="1">
      <c r="A4" s="4"/>
      <c r="B4" s="40"/>
      <c r="C4" s="5"/>
      <c r="D4" s="5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6" ht="13.5">
      <c r="B6" s="22"/>
    </row>
    <row r="7" ht="18.75" thickBot="1">
      <c r="B7" s="23" t="s">
        <v>86</v>
      </c>
    </row>
    <row r="8" spans="2:6" ht="12.75">
      <c r="B8" s="637" t="s">
        <v>101</v>
      </c>
      <c r="C8" s="638"/>
      <c r="D8" s="75">
        <v>1.24</v>
      </c>
      <c r="E8" s="29"/>
      <c r="F8" s="26"/>
    </row>
    <row r="9" spans="2:6" ht="12.75">
      <c r="B9" s="576" t="s">
        <v>100</v>
      </c>
      <c r="C9" s="628"/>
      <c r="D9" s="74">
        <v>0.23</v>
      </c>
      <c r="E9" s="29"/>
      <c r="F9" s="26"/>
    </row>
    <row r="10" spans="2:6" ht="12.75">
      <c r="B10" s="576" t="s">
        <v>99</v>
      </c>
      <c r="C10" s="628"/>
      <c r="D10" s="74">
        <v>0.47</v>
      </c>
      <c r="E10" s="29"/>
      <c r="F10" s="26"/>
    </row>
    <row r="11" spans="2:6" ht="12.75">
      <c r="B11" s="551" t="s">
        <v>102</v>
      </c>
      <c r="C11" s="636"/>
      <c r="D11" s="74">
        <v>0.43</v>
      </c>
      <c r="E11" s="29"/>
      <c r="F11" s="26"/>
    </row>
    <row r="12" spans="2:6" ht="12.75">
      <c r="B12" s="551" t="s">
        <v>103</v>
      </c>
      <c r="C12" s="636"/>
      <c r="D12" s="249">
        <v>1</v>
      </c>
      <c r="E12" s="29"/>
      <c r="F12" s="26"/>
    </row>
    <row r="13" spans="2:6" ht="13.5" thickBot="1">
      <c r="B13" s="639" t="s">
        <v>104</v>
      </c>
      <c r="C13" s="640"/>
      <c r="D13" s="96">
        <v>0.1267</v>
      </c>
      <c r="E13" s="29"/>
      <c r="F13" s="26"/>
    </row>
    <row r="14" spans="2:6" ht="12.75">
      <c r="B14" s="25"/>
      <c r="C14" s="25"/>
      <c r="D14" s="25"/>
      <c r="E14" s="25"/>
      <c r="F14" s="24"/>
    </row>
    <row r="16" ht="18">
      <c r="B16" s="63"/>
    </row>
    <row r="17" ht="15">
      <c r="B17" s="61" t="s">
        <v>87</v>
      </c>
    </row>
    <row r="18" ht="18">
      <c r="B18" s="13"/>
    </row>
    <row r="19" ht="18">
      <c r="B19" s="13"/>
    </row>
    <row r="20" ht="18">
      <c r="B20" s="13"/>
    </row>
    <row r="21" ht="18">
      <c r="B21" s="13"/>
    </row>
    <row r="22" ht="18">
      <c r="B22" s="13"/>
    </row>
    <row r="23" ht="18">
      <c r="B23" s="13"/>
    </row>
    <row r="25" ht="13.5" thickBot="1"/>
    <row r="26" spans="2:3" ht="39" thickBot="1">
      <c r="B26" s="158" t="s">
        <v>157</v>
      </c>
      <c r="C26" s="248" t="str">
        <f>'EVALUACION PRIVADA'!C14</f>
        <v>Dólares</v>
      </c>
    </row>
    <row r="27" ht="12.75">
      <c r="E27" s="97"/>
    </row>
    <row r="28" spans="2:4" ht="15.75" thickBot="1">
      <c r="B28" s="61" t="s">
        <v>88</v>
      </c>
      <c r="D28" s="30"/>
    </row>
    <row r="29" spans="2:6" ht="12.75">
      <c r="B29" s="603" t="s">
        <v>106</v>
      </c>
      <c r="C29" s="604"/>
      <c r="D29" s="586" t="s">
        <v>48</v>
      </c>
      <c r="E29" s="587"/>
      <c r="F29" s="35"/>
    </row>
    <row r="30" spans="2:5" ht="12.75">
      <c r="B30" s="605"/>
      <c r="C30" s="606"/>
      <c r="D30" s="28">
        <v>0</v>
      </c>
      <c r="E30" s="590" t="s">
        <v>47</v>
      </c>
    </row>
    <row r="31" spans="2:5" ht="12.75">
      <c r="B31" s="605"/>
      <c r="C31" s="606"/>
      <c r="D31" s="28">
        <f>AñoBase</f>
        <v>2008</v>
      </c>
      <c r="E31" s="590"/>
    </row>
    <row r="32" spans="2:5" ht="12.75">
      <c r="B32" s="633" t="s">
        <v>64</v>
      </c>
      <c r="C32" s="634"/>
      <c r="D32" s="69"/>
      <c r="E32" s="72"/>
    </row>
    <row r="33" spans="2:5" ht="12.75">
      <c r="B33" s="601" t="s">
        <v>176</v>
      </c>
      <c r="C33" s="635"/>
      <c r="D33" s="154">
        <f>'EVALUACION PRIVADA'!D42*CambioInversion</f>
        <v>0</v>
      </c>
      <c r="E33" s="214">
        <f>SUM(D33:D33)</f>
        <v>0</v>
      </c>
    </row>
    <row r="34" spans="2:5" ht="12.75">
      <c r="B34" s="380" t="s">
        <v>57</v>
      </c>
      <c r="C34" s="381"/>
      <c r="D34" s="154">
        <f>SUM(D35:D36)*CambioInversion</f>
        <v>0</v>
      </c>
      <c r="E34" s="214">
        <f>SUM(D34:D34)</f>
        <v>0</v>
      </c>
    </row>
    <row r="35" spans="2:5" ht="12.75">
      <c r="B35" s="576" t="s">
        <v>63</v>
      </c>
      <c r="C35" s="628"/>
      <c r="D35" s="155">
        <f>'EVALUACION PRIVADA'!D44*rpcmoc</f>
        <v>0</v>
      </c>
      <c r="E35" s="215"/>
    </row>
    <row r="36" spans="2:5" ht="12.75">
      <c r="B36" s="551" t="s">
        <v>109</v>
      </c>
      <c r="C36" s="636"/>
      <c r="D36" s="155">
        <f>'EVALUACION PRIVADA'!D45*rpcmosemi</f>
        <v>0</v>
      </c>
      <c r="E36" s="215"/>
    </row>
    <row r="37" spans="2:5" ht="12.75">
      <c r="B37" s="380" t="s">
        <v>58</v>
      </c>
      <c r="C37" s="381"/>
      <c r="D37" s="203">
        <f>D38+D45</f>
        <v>0</v>
      </c>
      <c r="E37" s="216">
        <f>SUM(D37:D37)</f>
        <v>0</v>
      </c>
    </row>
    <row r="38" spans="2:5" ht="12.75">
      <c r="B38" s="515" t="s">
        <v>311</v>
      </c>
      <c r="C38" s="516"/>
      <c r="D38" s="154">
        <f>SUM(D39:D44)*CambioInversion</f>
        <v>0</v>
      </c>
      <c r="E38" s="214">
        <f>SUM(D38:D38)</f>
        <v>0</v>
      </c>
    </row>
    <row r="39" spans="2:5" ht="12.75">
      <c r="B39" s="580" t="s">
        <v>63</v>
      </c>
      <c r="C39" s="553"/>
      <c r="D39" s="204">
        <f>'EVALUACION PRIVADA'!D48*rpcmoc</f>
        <v>0</v>
      </c>
      <c r="E39" s="217"/>
    </row>
    <row r="40" spans="2:5" ht="12.75">
      <c r="B40" s="580" t="s">
        <v>109</v>
      </c>
      <c r="C40" s="553"/>
      <c r="D40" s="155">
        <f>'EVALUACION PRIVADA'!D49*rpcmosemi</f>
        <v>0</v>
      </c>
      <c r="E40" s="217"/>
    </row>
    <row r="41" spans="2:5" ht="12.75">
      <c r="B41" s="67" t="s">
        <v>107</v>
      </c>
      <c r="C41" s="66"/>
      <c r="D41" s="155">
        <f>'EVALUACION PRIVADA'!D50*rpcmoncu</f>
        <v>0</v>
      </c>
      <c r="E41" s="217"/>
    </row>
    <row r="42" spans="2:5" ht="12.75">
      <c r="B42" s="580" t="s">
        <v>108</v>
      </c>
      <c r="C42" s="553"/>
      <c r="D42" s="155">
        <f>'EVALUACION PRIVADA'!D51*rpcmoncr</f>
        <v>0</v>
      </c>
      <c r="E42" s="217"/>
    </row>
    <row r="43" spans="2:5" ht="12.75">
      <c r="B43" s="382" t="s">
        <v>126</v>
      </c>
      <c r="C43" s="384"/>
      <c r="D43" s="155">
        <f>'EVALUACION PRIVADA'!D52*rpcdivisa</f>
        <v>0</v>
      </c>
      <c r="E43" s="217"/>
    </row>
    <row r="44" spans="2:5" ht="12.75">
      <c r="B44" s="382" t="s">
        <v>110</v>
      </c>
      <c r="C44" s="384"/>
      <c r="D44" s="155">
        <f>'EVALUACION PRIVADA'!D53</f>
        <v>0</v>
      </c>
      <c r="E44" s="217"/>
    </row>
    <row r="45" spans="2:5" ht="12.75">
      <c r="B45" s="515" t="s">
        <v>312</v>
      </c>
      <c r="C45" s="516"/>
      <c r="D45" s="154">
        <f>SUM(D46:D51)*CambioInversion</f>
        <v>0</v>
      </c>
      <c r="E45" s="214">
        <f>SUM(D45:D45)</f>
        <v>0</v>
      </c>
    </row>
    <row r="46" spans="2:5" ht="12.75">
      <c r="B46" s="580" t="s">
        <v>63</v>
      </c>
      <c r="C46" s="553"/>
      <c r="D46" s="204">
        <f>'EVALUACION PRIVADA'!D55*rpcmoc</f>
        <v>0</v>
      </c>
      <c r="E46" s="217"/>
    </row>
    <row r="47" spans="2:5" ht="12.75">
      <c r="B47" s="580" t="s">
        <v>109</v>
      </c>
      <c r="C47" s="553"/>
      <c r="D47" s="155">
        <f>'EVALUACION PRIVADA'!D56*rpcmosemi</f>
        <v>0</v>
      </c>
      <c r="E47" s="215"/>
    </row>
    <row r="48" spans="2:5" ht="12.75">
      <c r="B48" s="67" t="s">
        <v>107</v>
      </c>
      <c r="C48" s="66"/>
      <c r="D48" s="155">
        <f>'EVALUACION PRIVADA'!D57*rpcmoncu</f>
        <v>0</v>
      </c>
      <c r="E48" s="215"/>
    </row>
    <row r="49" spans="2:5" ht="12.75">
      <c r="B49" s="580" t="s">
        <v>108</v>
      </c>
      <c r="C49" s="553"/>
      <c r="D49" s="155">
        <f>'EVALUACION PRIVADA'!D58*rpcmoncr</f>
        <v>0</v>
      </c>
      <c r="E49" s="215"/>
    </row>
    <row r="50" spans="2:5" ht="12.75">
      <c r="B50" s="382" t="s">
        <v>126</v>
      </c>
      <c r="C50" s="384"/>
      <c r="D50" s="155">
        <f>'EVALUACION PRIVADA'!D59*rpcdivisa</f>
        <v>0</v>
      </c>
      <c r="E50" s="215"/>
    </row>
    <row r="51" spans="2:5" ht="12.75">
      <c r="B51" s="382" t="s">
        <v>110</v>
      </c>
      <c r="C51" s="384"/>
      <c r="D51" s="155">
        <f>'EVALUACION PRIVADA'!D60</f>
        <v>0</v>
      </c>
      <c r="E51" s="215"/>
    </row>
    <row r="52" spans="2:5" ht="12.75">
      <c r="B52" s="515" t="s">
        <v>44</v>
      </c>
      <c r="C52" s="517"/>
      <c r="D52" s="154">
        <f>SUM(D53:D54)*CambioInversion</f>
        <v>0</v>
      </c>
      <c r="E52" s="214">
        <f>SUM(D52:D52)</f>
        <v>0</v>
      </c>
    </row>
    <row r="53" spans="2:5" ht="12.75">
      <c r="B53" s="382" t="s">
        <v>126</v>
      </c>
      <c r="C53" s="384"/>
      <c r="D53" s="155">
        <f>'EVALUACION PRIVADA'!D62*rpcdivisa</f>
        <v>0</v>
      </c>
      <c r="E53" s="215"/>
    </row>
    <row r="54" spans="2:5" ht="12.75">
      <c r="B54" s="576" t="s">
        <v>110</v>
      </c>
      <c r="C54" s="628"/>
      <c r="D54" s="155">
        <f>'EVALUACION PRIVADA'!D63</f>
        <v>0</v>
      </c>
      <c r="E54" s="215"/>
    </row>
    <row r="55" spans="2:5" ht="12.75">
      <c r="B55" s="380" t="s">
        <v>45</v>
      </c>
      <c r="C55" s="381"/>
      <c r="D55" s="154">
        <f>SUM(D56:D57)*CambioInversion</f>
        <v>0</v>
      </c>
      <c r="E55" s="214">
        <f>SUM(D55:D55)</f>
        <v>0</v>
      </c>
    </row>
    <row r="56" spans="2:5" ht="12.75">
      <c r="B56" s="382" t="s">
        <v>126</v>
      </c>
      <c r="C56" s="384"/>
      <c r="D56" s="155">
        <f>'EVALUACION PRIVADA'!D65*rpcdivisa</f>
        <v>0</v>
      </c>
      <c r="E56" s="215"/>
    </row>
    <row r="57" spans="2:5" ht="12.75">
      <c r="B57" s="576" t="s">
        <v>110</v>
      </c>
      <c r="C57" s="628"/>
      <c r="D57" s="155">
        <f>'EVALUACION PRIVADA'!D66</f>
        <v>0</v>
      </c>
      <c r="E57" s="215"/>
    </row>
    <row r="58" spans="2:5" ht="12.75">
      <c r="B58" s="380" t="s">
        <v>111</v>
      </c>
      <c r="C58" s="381"/>
      <c r="D58" s="155">
        <f>'EVALUACION PRIVADA'!D67*CambioInversion</f>
        <v>0</v>
      </c>
      <c r="E58" s="215">
        <f>SUM(D58:D58)</f>
        <v>0</v>
      </c>
    </row>
    <row r="59" spans="2:5" ht="12.75">
      <c r="B59" s="554" t="s">
        <v>49</v>
      </c>
      <c r="C59" s="632"/>
      <c r="D59" s="156">
        <f>(+D34+D38+D45+D52+D55+D58+D33)</f>
        <v>0</v>
      </c>
      <c r="E59" s="214">
        <f>SUM(D59:D59)</f>
        <v>0</v>
      </c>
    </row>
    <row r="60" spans="2:5" ht="12.75">
      <c r="B60" s="73" t="s">
        <v>112</v>
      </c>
      <c r="C60" s="69"/>
      <c r="D60" s="69"/>
      <c r="E60" s="72"/>
    </row>
    <row r="61" spans="2:5" ht="12.75">
      <c r="B61" s="580" t="s">
        <v>113</v>
      </c>
      <c r="C61" s="553"/>
      <c r="D61" s="155">
        <f>'EVALUACION PRIVADA'!D70*rpcmoc</f>
        <v>0</v>
      </c>
      <c r="E61" s="218">
        <f aca="true" t="shared" si="0" ref="E61:E66">SUM(D61:D61)</f>
        <v>0</v>
      </c>
    </row>
    <row r="62" spans="2:5" ht="12.75">
      <c r="B62" s="580" t="s">
        <v>114</v>
      </c>
      <c r="C62" s="553"/>
      <c r="D62" s="155">
        <f>'EVALUACION PRIVADA'!D71*rpcmosemi</f>
        <v>0</v>
      </c>
      <c r="E62" s="218">
        <f t="shared" si="0"/>
        <v>0</v>
      </c>
    </row>
    <row r="63" spans="2:5" ht="12.75">
      <c r="B63" s="580" t="s">
        <v>115</v>
      </c>
      <c r="C63" s="553"/>
      <c r="D63" s="155">
        <f>'EVALUACION PRIVADA'!D72*rpcmoncu</f>
        <v>0</v>
      </c>
      <c r="E63" s="218">
        <f t="shared" si="0"/>
        <v>0</v>
      </c>
    </row>
    <row r="64" spans="2:5" ht="12.75">
      <c r="B64" s="580" t="s">
        <v>116</v>
      </c>
      <c r="C64" s="553"/>
      <c r="D64" s="155">
        <f>'EVALUACION PRIVADA'!D73*rpcmoncr</f>
        <v>0</v>
      </c>
      <c r="E64" s="218">
        <f t="shared" si="0"/>
        <v>0</v>
      </c>
    </row>
    <row r="65" spans="2:5" ht="12.75">
      <c r="B65" s="382" t="s">
        <v>125</v>
      </c>
      <c r="C65" s="384"/>
      <c r="D65" s="155">
        <f>'EVALUACION PRIVADA'!D74*rpcdivisa</f>
        <v>0</v>
      </c>
      <c r="E65" s="218">
        <f t="shared" si="0"/>
        <v>0</v>
      </c>
    </row>
    <row r="66" spans="2:5" ht="12.75">
      <c r="B66" s="580" t="s">
        <v>117</v>
      </c>
      <c r="C66" s="553"/>
      <c r="D66" s="155">
        <f>'EVALUACION PRIVADA'!D75</f>
        <v>0</v>
      </c>
      <c r="E66" s="218">
        <f t="shared" si="0"/>
        <v>0</v>
      </c>
    </row>
    <row r="67" spans="2:5" ht="12.75">
      <c r="B67" s="630" t="s">
        <v>49</v>
      </c>
      <c r="C67" s="631"/>
      <c r="D67" s="156">
        <f>SUM(D61:D66)*CambioOperacion</f>
        <v>0</v>
      </c>
      <c r="E67" s="219">
        <f>SUM(D67:D67)</f>
        <v>0</v>
      </c>
    </row>
    <row r="68" spans="2:7" ht="12.75">
      <c r="B68" s="89" t="s">
        <v>154</v>
      </c>
      <c r="C68" s="94"/>
      <c r="D68" s="94"/>
      <c r="E68" s="95"/>
      <c r="G68" s="91"/>
    </row>
    <row r="69" spans="2:5" ht="12.75" hidden="1">
      <c r="B69" s="551" t="s">
        <v>155</v>
      </c>
      <c r="C69" s="627"/>
      <c r="D69" s="155">
        <f>'EVALUACION PRIVADA'!D78</f>
        <v>0</v>
      </c>
      <c r="E69" s="218">
        <f>SUM(D69:D69)</f>
        <v>0</v>
      </c>
    </row>
    <row r="70" spans="2:5" ht="12.75">
      <c r="B70" s="576" t="s">
        <v>156</v>
      </c>
      <c r="C70" s="628"/>
      <c r="D70" s="155">
        <f>'EVALUACION PRIVADA'!D79</f>
        <v>0</v>
      </c>
      <c r="E70" s="218">
        <f>SUM(D70:D70)</f>
        <v>0</v>
      </c>
    </row>
    <row r="71" spans="2:5" ht="13.5" thickBot="1">
      <c r="B71" s="612" t="s">
        <v>49</v>
      </c>
      <c r="C71" s="629"/>
      <c r="D71" s="220">
        <f>SUM(D70:D70)</f>
        <v>0</v>
      </c>
      <c r="E71" s="221">
        <f>SUM(D71:D71)</f>
        <v>0</v>
      </c>
    </row>
    <row r="72" spans="2:5" ht="13.5" thickBot="1">
      <c r="B72" s="556"/>
      <c r="C72" s="556"/>
      <c r="D72" s="31"/>
      <c r="E72" s="2"/>
    </row>
    <row r="73" spans="2:5" ht="13.5" thickBot="1">
      <c r="B73" s="596" t="s">
        <v>50</v>
      </c>
      <c r="C73" s="626"/>
      <c r="D73" s="222">
        <f>+D59+D67</f>
        <v>0</v>
      </c>
      <c r="E73" s="223">
        <f>SUM(D73:D73)</f>
        <v>0</v>
      </c>
    </row>
    <row r="74" spans="4:5" ht="12.75">
      <c r="D74" s="30"/>
      <c r="E74" s="30"/>
    </row>
    <row r="75" spans="2:4" ht="12.75" hidden="1">
      <c r="B75" s="595" t="s">
        <v>67</v>
      </c>
      <c r="C75" s="595"/>
      <c r="D75" s="230">
        <f>D73</f>
        <v>0</v>
      </c>
    </row>
    <row r="76" spans="2:4" ht="12.75" hidden="1">
      <c r="B76" s="553" t="s">
        <v>54</v>
      </c>
      <c r="C76" s="553"/>
      <c r="D76" s="230"/>
    </row>
    <row r="77" spans="2:4" ht="12.75" hidden="1">
      <c r="B77" s="553" t="s">
        <v>51</v>
      </c>
      <c r="C77" s="553"/>
      <c r="D77" s="230">
        <f>-PMT(interes,años1,vacs1)</f>
        <v>0</v>
      </c>
    </row>
    <row r="78" spans="2:4" ht="12.75" hidden="1">
      <c r="B78" s="553" t="s">
        <v>281</v>
      </c>
      <c r="C78" s="553"/>
      <c r="D78" s="202"/>
    </row>
    <row r="79" spans="2:7" ht="12.75" hidden="1">
      <c r="B79" s="553" t="s">
        <v>282</v>
      </c>
      <c r="C79" s="553"/>
      <c r="D79" s="230"/>
      <c r="F79" s="187" t="s">
        <v>278</v>
      </c>
      <c r="G79" s="230"/>
    </row>
    <row r="80" spans="2:4" ht="12.75" hidden="1">
      <c r="B80" s="595" t="s">
        <v>313</v>
      </c>
      <c r="C80" s="595"/>
      <c r="D80" s="230"/>
    </row>
    <row r="81" spans="2:4" ht="12.75" hidden="1">
      <c r="B81" s="595" t="s">
        <v>314</v>
      </c>
      <c r="C81" s="595"/>
      <c r="D81" s="230"/>
    </row>
    <row r="82" spans="2:4" ht="12.75" hidden="1">
      <c r="B82" s="595" t="s">
        <v>315</v>
      </c>
      <c r="C82" s="595"/>
      <c r="D82" s="230"/>
    </row>
    <row r="83" spans="2:4" ht="12.75" hidden="1">
      <c r="B83" s="595" t="s">
        <v>316</v>
      </c>
      <c r="C83" s="595"/>
      <c r="D83" s="230"/>
    </row>
    <row r="84" spans="2:4" ht="12.75" hidden="1">
      <c r="B84" s="553" t="s">
        <v>317</v>
      </c>
      <c r="C84" s="553"/>
      <c r="D84" s="230">
        <f>-PMT(interes,años1,vacp5)</f>
        <v>0</v>
      </c>
    </row>
  </sheetData>
  <sheetProtection sheet="1" objects="1" scenarios="1"/>
  <mergeCells count="57">
    <mergeCell ref="B78:C78"/>
    <mergeCell ref="B79:C79"/>
    <mergeCell ref="B8:C8"/>
    <mergeCell ref="B9:C9"/>
    <mergeCell ref="B10:C10"/>
    <mergeCell ref="B35:C35"/>
    <mergeCell ref="B11:C11"/>
    <mergeCell ref="B12:C12"/>
    <mergeCell ref="B13:C13"/>
    <mergeCell ref="B29:C31"/>
    <mergeCell ref="B36:C36"/>
    <mergeCell ref="B37:C37"/>
    <mergeCell ref="B46:C46"/>
    <mergeCell ref="B47:C47"/>
    <mergeCell ref="B39:C39"/>
    <mergeCell ref="B40:C40"/>
    <mergeCell ref="B42:C42"/>
    <mergeCell ref="B43:C43"/>
    <mergeCell ref="B44:C44"/>
    <mergeCell ref="B38:C38"/>
    <mergeCell ref="B75:C75"/>
    <mergeCell ref="B76:C76"/>
    <mergeCell ref="B77:C77"/>
    <mergeCell ref="D29:E29"/>
    <mergeCell ref="E30:E31"/>
    <mergeCell ref="B32:C32"/>
    <mergeCell ref="B34:C34"/>
    <mergeCell ref="B33:C33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62:C62"/>
    <mergeCell ref="B63:C63"/>
    <mergeCell ref="B71:C71"/>
    <mergeCell ref="B64:C64"/>
    <mergeCell ref="B65:C65"/>
    <mergeCell ref="B66:C66"/>
    <mergeCell ref="B67:C67"/>
    <mergeCell ref="B83:C83"/>
    <mergeCell ref="B84:C84"/>
    <mergeCell ref="B45:C45"/>
    <mergeCell ref="B80:C80"/>
    <mergeCell ref="B81:C81"/>
    <mergeCell ref="B82:C82"/>
    <mergeCell ref="B73:C73"/>
    <mergeCell ref="B72:C72"/>
    <mergeCell ref="B69:C69"/>
    <mergeCell ref="B70:C70"/>
  </mergeCells>
  <printOptions/>
  <pageMargins left="0.47" right="0.75" top="0.52" bottom="1" header="0.5118110236220472" footer="0.5118110236220472"/>
  <pageSetup horizontalDpi="360" verticalDpi="360" orientation="portrait" scale="98" r:id="rId4"/>
  <headerFooter alignWithMargins="0">
    <oddFooter>&amp;L&amp;D&amp;R&amp;P de &amp;N</oddFooter>
  </headerFooter>
  <rowBreaks count="1" manualBreakCount="1">
    <brk id="24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O53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15.421875" style="0" customWidth="1"/>
    <col min="3" max="7" width="11.7109375" style="0" customWidth="1"/>
    <col min="8" max="8" width="13.57421875" style="0" customWidth="1"/>
    <col min="9" max="9" width="13.28125" style="0" customWidth="1"/>
    <col min="10" max="10" width="11.7109375" style="0" customWidth="1"/>
    <col min="11" max="16384" width="9.140625" style="0" customWidth="1"/>
  </cols>
  <sheetData>
    <row r="1" spans="1:93" ht="18" customHeight="1">
      <c r="A1" s="5"/>
      <c r="B1" s="43"/>
      <c r="C1" s="5"/>
      <c r="D1" s="5"/>
      <c r="E1" s="44"/>
      <c r="F1" s="5"/>
      <c r="G1" s="5"/>
      <c r="H1" s="4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</row>
    <row r="2" spans="1:93" ht="18" customHeight="1">
      <c r="A2" s="5"/>
      <c r="B2" s="4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</row>
    <row r="3" spans="1:93" ht="18" customHeight="1">
      <c r="A3" s="5"/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</row>
    <row r="4" ht="18" customHeight="1">
      <c r="A4" s="5"/>
    </row>
    <row r="5" ht="12.75">
      <c r="A5" s="5"/>
    </row>
    <row r="6" spans="2:8" ht="18">
      <c r="B6" s="23" t="s">
        <v>90</v>
      </c>
      <c r="H6" s="23" t="s">
        <v>283</v>
      </c>
    </row>
    <row r="7" spans="2:10" ht="12.75">
      <c r="B7" s="649" t="s">
        <v>52</v>
      </c>
      <c r="C7" s="649"/>
      <c r="D7" s="649" t="s">
        <v>53</v>
      </c>
      <c r="H7" s="649" t="s">
        <v>52</v>
      </c>
      <c r="I7" s="649"/>
      <c r="J7" s="649" t="s">
        <v>53</v>
      </c>
    </row>
    <row r="8" spans="2:10" ht="12.75">
      <c r="B8" s="649"/>
      <c r="C8" s="649"/>
      <c r="D8" s="649"/>
      <c r="H8" s="649"/>
      <c r="I8" s="649"/>
      <c r="J8" s="649"/>
    </row>
    <row r="9" spans="2:10" ht="12.75">
      <c r="B9" s="641" t="s">
        <v>66</v>
      </c>
      <c r="C9" s="641"/>
      <c r="D9" s="193">
        <f>vacp1</f>
        <v>0</v>
      </c>
      <c r="H9" s="641" t="s">
        <v>67</v>
      </c>
      <c r="I9" s="641"/>
      <c r="J9" s="193">
        <f>vacs1</f>
        <v>0</v>
      </c>
    </row>
    <row r="10" spans="2:10" ht="12.75">
      <c r="B10" s="648" t="s">
        <v>306</v>
      </c>
      <c r="C10" s="648"/>
      <c r="D10" s="193">
        <f>vacp2</f>
        <v>0</v>
      </c>
      <c r="H10" s="648" t="s">
        <v>313</v>
      </c>
      <c r="I10" s="648"/>
      <c r="J10" s="193">
        <f>vacs2</f>
        <v>0</v>
      </c>
    </row>
    <row r="11" spans="2:10" ht="12.75">
      <c r="B11" s="648" t="s">
        <v>321</v>
      </c>
      <c r="C11" s="648"/>
      <c r="D11" s="193">
        <f>vacp3</f>
        <v>0</v>
      </c>
      <c r="H11" s="648" t="s">
        <v>322</v>
      </c>
      <c r="I11" s="648"/>
      <c r="J11" s="193">
        <f>vacs3</f>
        <v>0</v>
      </c>
    </row>
    <row r="12" spans="2:10" ht="12.75">
      <c r="B12" s="648" t="s">
        <v>308</v>
      </c>
      <c r="C12" s="648"/>
      <c r="D12" s="193">
        <f>vacp4</f>
        <v>0</v>
      </c>
      <c r="H12" s="648" t="s">
        <v>315</v>
      </c>
      <c r="I12" s="648"/>
      <c r="J12" s="193">
        <f>vacs4</f>
        <v>0</v>
      </c>
    </row>
    <row r="13" spans="2:10" ht="12.75">
      <c r="B13" s="648" t="s">
        <v>310</v>
      </c>
      <c r="C13" s="648"/>
      <c r="D13" s="193">
        <f>vacp5</f>
        <v>0</v>
      </c>
      <c r="H13" s="648" t="s">
        <v>316</v>
      </c>
      <c r="I13" s="648"/>
      <c r="J13" s="193">
        <f>vacs5</f>
        <v>0</v>
      </c>
    </row>
    <row r="14" spans="2:10" ht="12.75">
      <c r="B14" s="674" t="s">
        <v>55</v>
      </c>
      <c r="C14" s="674"/>
      <c r="D14" s="675">
        <f>vanp1</f>
        <v>0</v>
      </c>
      <c r="H14" s="641" t="s">
        <v>54</v>
      </c>
      <c r="I14" s="641"/>
      <c r="J14" s="225" t="s">
        <v>318</v>
      </c>
    </row>
    <row r="15" spans="2:10" ht="12.75">
      <c r="B15" s="641" t="s">
        <v>56</v>
      </c>
      <c r="C15" s="641"/>
      <c r="D15" s="193">
        <f>caep1</f>
        <v>0</v>
      </c>
      <c r="H15" s="641" t="s">
        <v>51</v>
      </c>
      <c r="I15" s="641"/>
      <c r="J15" s="193">
        <f>caes1</f>
        <v>0</v>
      </c>
    </row>
    <row r="16" spans="2:10" ht="12.75">
      <c r="B16" s="647" t="s">
        <v>309</v>
      </c>
      <c r="C16" s="647"/>
      <c r="D16" s="193">
        <f>caep2</f>
        <v>0</v>
      </c>
      <c r="H16" s="647" t="s">
        <v>317</v>
      </c>
      <c r="I16" s="647"/>
      <c r="J16" s="193">
        <f>caes2</f>
        <v>0</v>
      </c>
    </row>
    <row r="17" spans="2:10" ht="12.75">
      <c r="B17" s="194" t="s">
        <v>279</v>
      </c>
      <c r="C17" s="195">
        <v>0.1</v>
      </c>
      <c r="D17" s="193">
        <f>IF(ISERROR(tirp),0,tirp)</f>
        <v>0</v>
      </c>
      <c r="H17" s="194" t="s">
        <v>281</v>
      </c>
      <c r="I17" s="195">
        <v>0.1</v>
      </c>
      <c r="J17" s="225" t="s">
        <v>318</v>
      </c>
    </row>
    <row r="18" spans="2:10" ht="12.75">
      <c r="B18" s="641" t="s">
        <v>292</v>
      </c>
      <c r="C18" s="641"/>
      <c r="D18" s="193">
        <f>IF(BeneficioCostoPrivado&lt;&gt;0,BeneficioCostoPrivado,0)</f>
        <v>0</v>
      </c>
      <c r="H18" s="641" t="s">
        <v>293</v>
      </c>
      <c r="I18" s="641"/>
      <c r="J18" s="225" t="s">
        <v>318</v>
      </c>
    </row>
    <row r="20" ht="18">
      <c r="B20" s="23" t="s">
        <v>298</v>
      </c>
    </row>
    <row r="21" spans="2:10" ht="14.25" customHeight="1">
      <c r="B21" s="650" t="s">
        <v>52</v>
      </c>
      <c r="C21" s="654"/>
      <c r="D21" s="650" t="s">
        <v>53</v>
      </c>
      <c r="E21" s="653" t="str">
        <f>IF('EVALUACION PRIVADA'!B1=TRUE,"Indicadores Estándar                Bs.","Indicadores Estándar            U.S.$")</f>
        <v>Indicadores Estándar            U.S.$</v>
      </c>
      <c r="F21" s="653"/>
      <c r="H21" s="650" t="s">
        <v>52</v>
      </c>
      <c r="I21" s="654"/>
      <c r="J21" s="658" t="s">
        <v>53</v>
      </c>
    </row>
    <row r="22" spans="2:10" ht="12.75">
      <c r="B22" s="651"/>
      <c r="C22" s="655"/>
      <c r="D22" s="651"/>
      <c r="E22" s="653"/>
      <c r="F22" s="653"/>
      <c r="H22" s="651"/>
      <c r="I22" s="655"/>
      <c r="J22" s="659"/>
    </row>
    <row r="23" spans="2:10" ht="12.75">
      <c r="B23" s="656"/>
      <c r="C23" s="657"/>
      <c r="D23" s="652"/>
      <c r="E23" s="197" t="s">
        <v>294</v>
      </c>
      <c r="F23" s="197" t="s">
        <v>295</v>
      </c>
      <c r="H23" s="656"/>
      <c r="I23" s="657"/>
      <c r="J23" s="652"/>
    </row>
    <row r="24" spans="2:10" ht="12.75">
      <c r="B24" s="674" t="s">
        <v>304</v>
      </c>
      <c r="C24" s="674"/>
      <c r="D24" s="675">
        <f>IF(PoblacionAfectada&gt;0,D9/PoblacionAfectada,)</f>
        <v>0</v>
      </c>
      <c r="E24" s="239">
        <f>IF('EVALUACION PRIVADA'!$B$1=TRUE,PREPARACION!B1*TipodeCambio,PREPARACION!B1)</f>
        <v>44.09</v>
      </c>
      <c r="F24" s="239">
        <f>IF('EVALUACION PRIVADA'!$B$1=TRUE,PREPARACION!C1*TipodeCambio,PREPARACION!C1)</f>
        <v>29.85</v>
      </c>
      <c r="H24" s="641" t="s">
        <v>305</v>
      </c>
      <c r="I24" s="641"/>
      <c r="J24" s="193">
        <f>IF(PoblacionAfectada&gt;0,J9/PoblacionAfectada,)</f>
        <v>0</v>
      </c>
    </row>
    <row r="25" spans="2:10" ht="12.75">
      <c r="B25" s="674" t="s">
        <v>357</v>
      </c>
      <c r="C25" s="674"/>
      <c r="D25" s="675">
        <f>IF(TamañoTotal&gt;0,(vacp2+vacp3)/TamañoTotal,0)</f>
        <v>0</v>
      </c>
      <c r="E25" s="239">
        <f>IF('EVALUACION PRIVADA'!$B$1=TRUE,PREPARACION!B2*TipodeCambio,PREPARACION!B2)</f>
        <v>171.92</v>
      </c>
      <c r="F25" s="239">
        <f>IF('EVALUACION PRIVADA'!$B$1=TRUE,PREPARACION!C2*TipodeCambio,PREPARACION!C2)</f>
        <v>143.53</v>
      </c>
      <c r="H25" s="641" t="s">
        <v>329</v>
      </c>
      <c r="I25" s="641"/>
      <c r="J25" s="193">
        <f>IF(TamañoTotal&gt;0,(vacs2+vacs3)/TamañoTotal,0)</f>
        <v>0</v>
      </c>
    </row>
    <row r="26" spans="2:10" ht="12.75">
      <c r="B26" s="674" t="s">
        <v>300</v>
      </c>
      <c r="C26" s="674"/>
      <c r="D26" s="675">
        <f>IF(PoblacionAfectada&gt;0,D15/PoblacionAfectada,)</f>
        <v>0</v>
      </c>
      <c r="E26" s="239">
        <f>IF('EVALUACION PRIVADA'!$B$1=TRUE,PREPARACION!B3*TipodeCambio,PREPARACION!B3)</f>
        <v>17.28</v>
      </c>
      <c r="F26" s="239">
        <f>IF('EVALUACION PRIVADA'!$B$1=TRUE,PREPARACION!C3*TipodeCambio,PREPARACION!C3)</f>
        <v>11.19</v>
      </c>
      <c r="H26" s="641" t="s">
        <v>301</v>
      </c>
      <c r="I26" s="641"/>
      <c r="J26" s="193">
        <f>IF(PoblacionAfectada&gt;0,J15/PoblacionAfectada,)</f>
        <v>0</v>
      </c>
    </row>
    <row r="27" spans="2:10" ht="12.75">
      <c r="B27" s="674" t="s">
        <v>302</v>
      </c>
      <c r="C27" s="674"/>
      <c r="D27" s="675">
        <f>IF(PoblacionAfectada&gt;0,D16/PoblacionAfectada,)</f>
        <v>0</v>
      </c>
      <c r="E27" s="240">
        <f>IF('EVALUACION PRIVADA'!$B$1=TRUE,PREPARACION!B4*TipodeCambio,PREPARACION!B4)</f>
        <v>3.18</v>
      </c>
      <c r="F27" s="240">
        <f>IF('EVALUACION PRIVADA'!$B$1=TRUE,PREPARACION!C4*TipodeCambio,PREPARACION!C4)</f>
        <v>1.88</v>
      </c>
      <c r="H27" s="641" t="s">
        <v>303</v>
      </c>
      <c r="I27" s="641"/>
      <c r="J27" s="193">
        <f>IF(PoblacionAfectada&gt;0,J16/PoblacionAfectada,)</f>
        <v>0</v>
      </c>
    </row>
    <row r="28" spans="2:10" ht="12.75">
      <c r="B28" s="641" t="s">
        <v>349</v>
      </c>
      <c r="C28" s="641"/>
      <c r="D28" s="193">
        <f>IF(TotalAtenciones&gt;0,D16/TotalAtenciones,0)</f>
        <v>0</v>
      </c>
      <c r="E28" s="196"/>
      <c r="F28" s="196"/>
      <c r="H28" s="641" t="s">
        <v>350</v>
      </c>
      <c r="I28" s="641"/>
      <c r="J28" s="193">
        <f>IF(TotalAtenciones&gt;0,J16/TotalAtenciones,0)</f>
        <v>0</v>
      </c>
    </row>
    <row r="30" ht="20.25">
      <c r="B30" s="190" t="s">
        <v>354</v>
      </c>
    </row>
    <row r="31" spans="2:14" ht="12.75" customHeight="1" hidden="1">
      <c r="B31" s="645" t="s">
        <v>304</v>
      </c>
      <c r="C31" s="642" t="s">
        <v>326</v>
      </c>
      <c r="D31" s="642"/>
      <c r="E31" s="642"/>
      <c r="F31" s="642"/>
      <c r="G31" s="642" t="s">
        <v>327</v>
      </c>
      <c r="H31" s="642"/>
      <c r="I31" s="642"/>
      <c r="J31" s="642"/>
      <c r="K31" s="642" t="s">
        <v>328</v>
      </c>
      <c r="L31" s="642"/>
      <c r="M31" s="642"/>
      <c r="N31" s="642"/>
    </row>
    <row r="32" spans="2:14" ht="12.75" customHeight="1" hidden="1">
      <c r="B32" s="646"/>
      <c r="C32" s="592" t="s">
        <v>189</v>
      </c>
      <c r="D32" s="643"/>
      <c r="E32" s="644" t="s">
        <v>297</v>
      </c>
      <c r="F32" s="643"/>
      <c r="G32" s="592" t="s">
        <v>189</v>
      </c>
      <c r="H32" s="643"/>
      <c r="I32" s="644" t="s">
        <v>297</v>
      </c>
      <c r="J32" s="643"/>
      <c r="K32" s="592" t="s">
        <v>189</v>
      </c>
      <c r="L32" s="643"/>
      <c r="M32" s="644" t="s">
        <v>297</v>
      </c>
      <c r="N32" s="643"/>
    </row>
    <row r="33" spans="2:14" ht="12.75" customHeight="1" hidden="1">
      <c r="B33" s="198" t="s">
        <v>16</v>
      </c>
      <c r="C33" s="191" t="s">
        <v>294</v>
      </c>
      <c r="D33" s="191" t="s">
        <v>295</v>
      </c>
      <c r="E33" s="191" t="s">
        <v>294</v>
      </c>
      <c r="F33" s="191" t="s">
        <v>295</v>
      </c>
      <c r="G33" s="191" t="s">
        <v>294</v>
      </c>
      <c r="H33" s="191" t="s">
        <v>295</v>
      </c>
      <c r="I33" s="191" t="s">
        <v>294</v>
      </c>
      <c r="J33" s="191" t="s">
        <v>295</v>
      </c>
      <c r="K33" s="191" t="s">
        <v>294</v>
      </c>
      <c r="L33" s="191" t="s">
        <v>295</v>
      </c>
      <c r="M33" s="191" t="s">
        <v>294</v>
      </c>
      <c r="N33" s="191" t="s">
        <v>295</v>
      </c>
    </row>
    <row r="34" spans="2:14" ht="12.75" customHeight="1" hidden="1">
      <c r="B34" s="191" t="s">
        <v>289</v>
      </c>
      <c r="C34" s="238">
        <v>4.53</v>
      </c>
      <c r="D34" s="238">
        <v>3.99</v>
      </c>
      <c r="E34" s="238">
        <v>44.09</v>
      </c>
      <c r="F34" s="238">
        <v>29.85</v>
      </c>
      <c r="G34" s="238">
        <v>22.8</v>
      </c>
      <c r="H34" s="238">
        <v>11.77</v>
      </c>
      <c r="I34" s="238">
        <v>49.13</v>
      </c>
      <c r="J34" s="238">
        <v>31.52</v>
      </c>
      <c r="K34" s="238">
        <v>29.51</v>
      </c>
      <c r="L34" s="238">
        <v>15.97</v>
      </c>
      <c r="M34" s="238">
        <v>44.22</v>
      </c>
      <c r="N34" s="238">
        <v>29.39</v>
      </c>
    </row>
    <row r="35" spans="2:14" ht="12.75" customHeight="1" hidden="1">
      <c r="B35" s="191" t="s">
        <v>290</v>
      </c>
      <c r="C35" s="238">
        <v>8.65</v>
      </c>
      <c r="D35" s="238">
        <v>2.58</v>
      </c>
      <c r="E35" s="238">
        <v>15.88</v>
      </c>
      <c r="F35" s="238">
        <v>8.36</v>
      </c>
      <c r="G35" s="238">
        <v>11.27</v>
      </c>
      <c r="H35" s="238">
        <v>4.74</v>
      </c>
      <c r="I35" s="238">
        <v>20.01</v>
      </c>
      <c r="J35" s="238">
        <v>12.45</v>
      </c>
      <c r="K35" s="238">
        <v>17.21</v>
      </c>
      <c r="L35" s="238">
        <v>4.97</v>
      </c>
      <c r="M35" s="238">
        <v>21.16</v>
      </c>
      <c r="N35" s="238">
        <v>5.96</v>
      </c>
    </row>
    <row r="36" ht="12.75" customHeight="1" hidden="1"/>
    <row r="37" spans="2:14" ht="12.75" customHeight="1" hidden="1">
      <c r="B37" s="645" t="s">
        <v>330</v>
      </c>
      <c r="C37" s="642" t="s">
        <v>296</v>
      </c>
      <c r="D37" s="642"/>
      <c r="E37" s="642"/>
      <c r="F37" s="642"/>
      <c r="G37" s="642" t="s">
        <v>327</v>
      </c>
      <c r="H37" s="642"/>
      <c r="I37" s="642"/>
      <c r="J37" s="642"/>
      <c r="K37" s="642" t="s">
        <v>328</v>
      </c>
      <c r="L37" s="642"/>
      <c r="M37" s="642"/>
      <c r="N37" s="642"/>
    </row>
    <row r="38" spans="2:14" ht="12.75" hidden="1">
      <c r="B38" s="646"/>
      <c r="C38" s="644" t="s">
        <v>189</v>
      </c>
      <c r="D38" s="643"/>
      <c r="E38" s="644" t="s">
        <v>297</v>
      </c>
      <c r="F38" s="643"/>
      <c r="G38" s="592" t="s">
        <v>189</v>
      </c>
      <c r="H38" s="643"/>
      <c r="I38" s="644" t="s">
        <v>297</v>
      </c>
      <c r="J38" s="643"/>
      <c r="K38" s="592" t="s">
        <v>189</v>
      </c>
      <c r="L38" s="643"/>
      <c r="M38" s="644" t="s">
        <v>297</v>
      </c>
      <c r="N38" s="643"/>
    </row>
    <row r="39" spans="2:14" ht="12.75" hidden="1">
      <c r="B39" s="198" t="s">
        <v>16</v>
      </c>
      <c r="C39" s="191" t="s">
        <v>294</v>
      </c>
      <c r="D39" s="191" t="s">
        <v>295</v>
      </c>
      <c r="E39" s="191" t="s">
        <v>294</v>
      </c>
      <c r="F39" s="191" t="s">
        <v>295</v>
      </c>
      <c r="G39" s="191" t="s">
        <v>294</v>
      </c>
      <c r="H39" s="191" t="s">
        <v>295</v>
      </c>
      <c r="I39" s="191" t="s">
        <v>294</v>
      </c>
      <c r="J39" s="191" t="s">
        <v>295</v>
      </c>
      <c r="K39" s="191" t="s">
        <v>294</v>
      </c>
      <c r="L39" s="191" t="s">
        <v>295</v>
      </c>
      <c r="M39" s="191" t="s">
        <v>294</v>
      </c>
      <c r="N39" s="191" t="s">
        <v>295</v>
      </c>
    </row>
    <row r="40" spans="2:14" ht="12.75" hidden="1">
      <c r="B40" s="191" t="s">
        <v>289</v>
      </c>
      <c r="C40" s="238">
        <v>159.26</v>
      </c>
      <c r="D40" s="238">
        <v>148.38</v>
      </c>
      <c r="E40" s="238">
        <v>171.92</v>
      </c>
      <c r="F40" s="238">
        <v>143.53</v>
      </c>
      <c r="G40" s="238">
        <v>159.2</v>
      </c>
      <c r="H40" s="238">
        <v>148.85</v>
      </c>
      <c r="I40" s="238">
        <v>168.93</v>
      </c>
      <c r="J40" s="238">
        <v>144.99</v>
      </c>
      <c r="K40" s="238">
        <v>185.53</v>
      </c>
      <c r="L40" s="238">
        <v>164.17</v>
      </c>
      <c r="M40" s="238">
        <v>191.93</v>
      </c>
      <c r="N40" s="238">
        <v>166.56</v>
      </c>
    </row>
    <row r="41" spans="2:14" ht="12.75" hidden="1">
      <c r="B41" s="191" t="s">
        <v>290</v>
      </c>
      <c r="C41" s="238">
        <v>160.87</v>
      </c>
      <c r="D41" s="238">
        <v>79.47</v>
      </c>
      <c r="E41" s="238">
        <v>135.12</v>
      </c>
      <c r="F41" s="238">
        <v>85.03</v>
      </c>
      <c r="G41" s="238">
        <v>117.38</v>
      </c>
      <c r="H41" s="238">
        <v>62.98</v>
      </c>
      <c r="I41" s="238">
        <v>122.4</v>
      </c>
      <c r="J41" s="238">
        <v>97.2</v>
      </c>
      <c r="K41" s="238">
        <v>117.38</v>
      </c>
      <c r="L41" s="238">
        <v>62.98</v>
      </c>
      <c r="M41" s="238">
        <v>132.78</v>
      </c>
      <c r="N41" s="238">
        <v>110.11</v>
      </c>
    </row>
    <row r="42" ht="12.75" hidden="1"/>
    <row r="43" spans="2:14" ht="12.75" customHeight="1" hidden="1">
      <c r="B43" s="645" t="s">
        <v>300</v>
      </c>
      <c r="C43" s="642" t="s">
        <v>296</v>
      </c>
      <c r="D43" s="642"/>
      <c r="E43" s="642"/>
      <c r="F43" s="642"/>
      <c r="G43" s="642" t="s">
        <v>327</v>
      </c>
      <c r="H43" s="642"/>
      <c r="I43" s="642"/>
      <c r="J43" s="642"/>
      <c r="K43" s="642" t="s">
        <v>328</v>
      </c>
      <c r="L43" s="642"/>
      <c r="M43" s="642"/>
      <c r="N43" s="642"/>
    </row>
    <row r="44" spans="2:14" ht="12.75" hidden="1">
      <c r="B44" s="646"/>
      <c r="C44" s="644" t="s">
        <v>189</v>
      </c>
      <c r="D44" s="643"/>
      <c r="E44" s="644" t="s">
        <v>297</v>
      </c>
      <c r="F44" s="643"/>
      <c r="G44" s="592" t="s">
        <v>189</v>
      </c>
      <c r="H44" s="643"/>
      <c r="I44" s="644" t="s">
        <v>297</v>
      </c>
      <c r="J44" s="643"/>
      <c r="K44" s="592" t="s">
        <v>189</v>
      </c>
      <c r="L44" s="643"/>
      <c r="M44" s="644" t="s">
        <v>297</v>
      </c>
      <c r="N44" s="643"/>
    </row>
    <row r="45" spans="2:14" ht="12.75" hidden="1">
      <c r="B45" s="198" t="s">
        <v>16</v>
      </c>
      <c r="C45" s="191" t="s">
        <v>294</v>
      </c>
      <c r="D45" s="191" t="s">
        <v>295</v>
      </c>
      <c r="E45" s="191" t="s">
        <v>294</v>
      </c>
      <c r="F45" s="191" t="s">
        <v>295</v>
      </c>
      <c r="G45" s="191" t="s">
        <v>294</v>
      </c>
      <c r="H45" s="191" t="s">
        <v>295</v>
      </c>
      <c r="I45" s="191" t="s">
        <v>294</v>
      </c>
      <c r="J45" s="191" t="s">
        <v>295</v>
      </c>
      <c r="K45" s="191" t="s">
        <v>294</v>
      </c>
      <c r="L45" s="191" t="s">
        <v>295</v>
      </c>
      <c r="M45" s="191" t="s">
        <v>294</v>
      </c>
      <c r="N45" s="191" t="s">
        <v>295</v>
      </c>
    </row>
    <row r="46" spans="2:14" ht="12.75" hidden="1">
      <c r="B46" s="191" t="s">
        <v>289</v>
      </c>
      <c r="C46" s="238">
        <v>12.51</v>
      </c>
      <c r="D46" s="238">
        <v>5.53</v>
      </c>
      <c r="E46" s="238">
        <v>17.28</v>
      </c>
      <c r="F46" s="238">
        <v>11.19</v>
      </c>
      <c r="G46" s="238">
        <v>12.51</v>
      </c>
      <c r="H46" s="238">
        <v>5.53</v>
      </c>
      <c r="I46" s="238">
        <v>21.72</v>
      </c>
      <c r="J46" s="238">
        <v>11.27</v>
      </c>
      <c r="K46" s="238">
        <v>12.51</v>
      </c>
      <c r="L46" s="238">
        <v>5.53</v>
      </c>
      <c r="M46" s="238">
        <v>14.01</v>
      </c>
      <c r="N46" s="238">
        <v>9.77</v>
      </c>
    </row>
    <row r="47" spans="2:14" ht="12.75" hidden="1">
      <c r="B47" s="191" t="s">
        <v>290</v>
      </c>
      <c r="C47" s="238">
        <v>2.64</v>
      </c>
      <c r="D47" s="238">
        <v>2.31</v>
      </c>
      <c r="E47" s="238">
        <v>11.94</v>
      </c>
      <c r="F47" s="238">
        <v>1.31</v>
      </c>
      <c r="G47" s="238">
        <v>2.64</v>
      </c>
      <c r="H47" s="238">
        <v>2.31</v>
      </c>
      <c r="I47" s="238">
        <f>14.92*1.2</f>
        <v>17.904</v>
      </c>
      <c r="J47" s="238">
        <f>14.92*0.8</f>
        <v>11.936</v>
      </c>
      <c r="K47" s="238">
        <v>2.64</v>
      </c>
      <c r="L47" s="238">
        <v>2.31</v>
      </c>
      <c r="M47" s="238">
        <v>17.9</v>
      </c>
      <c r="N47" s="238">
        <v>11.94</v>
      </c>
    </row>
    <row r="48" ht="12.75" hidden="1"/>
    <row r="49" spans="2:14" ht="12.75" customHeight="1" hidden="1">
      <c r="B49" s="645" t="s">
        <v>331</v>
      </c>
      <c r="C49" s="642" t="s">
        <v>296</v>
      </c>
      <c r="D49" s="642"/>
      <c r="E49" s="642"/>
      <c r="F49" s="642"/>
      <c r="G49" s="642" t="s">
        <v>327</v>
      </c>
      <c r="H49" s="642"/>
      <c r="I49" s="642"/>
      <c r="J49" s="642"/>
      <c r="K49" s="642" t="s">
        <v>328</v>
      </c>
      <c r="L49" s="642"/>
      <c r="M49" s="642"/>
      <c r="N49" s="642"/>
    </row>
    <row r="50" spans="2:14" ht="12.75" hidden="1">
      <c r="B50" s="646"/>
      <c r="C50" s="644" t="s">
        <v>189</v>
      </c>
      <c r="D50" s="643"/>
      <c r="E50" s="644" t="s">
        <v>297</v>
      </c>
      <c r="F50" s="643"/>
      <c r="G50" s="592" t="s">
        <v>189</v>
      </c>
      <c r="H50" s="643"/>
      <c r="I50" s="644" t="s">
        <v>297</v>
      </c>
      <c r="J50" s="643"/>
      <c r="K50" s="592" t="s">
        <v>189</v>
      </c>
      <c r="L50" s="643"/>
      <c r="M50" s="644" t="s">
        <v>297</v>
      </c>
      <c r="N50" s="643"/>
    </row>
    <row r="51" spans="2:14" ht="12.75" hidden="1">
      <c r="B51" s="198" t="s">
        <v>16</v>
      </c>
      <c r="C51" s="191" t="s">
        <v>294</v>
      </c>
      <c r="D51" s="191" t="s">
        <v>295</v>
      </c>
      <c r="E51" s="191" t="s">
        <v>294</v>
      </c>
      <c r="F51" s="191" t="s">
        <v>295</v>
      </c>
      <c r="G51" s="191" t="s">
        <v>294</v>
      </c>
      <c r="H51" s="191" t="s">
        <v>295</v>
      </c>
      <c r="I51" s="191" t="s">
        <v>294</v>
      </c>
      <c r="J51" s="191" t="s">
        <v>295</v>
      </c>
      <c r="K51" s="191" t="s">
        <v>294</v>
      </c>
      <c r="L51" s="191" t="s">
        <v>295</v>
      </c>
      <c r="M51" s="191" t="s">
        <v>294</v>
      </c>
      <c r="N51" s="191" t="s">
        <v>295</v>
      </c>
    </row>
    <row r="52" spans="2:14" ht="12.75" hidden="1">
      <c r="B52" s="191" t="s">
        <v>289</v>
      </c>
      <c r="C52" s="238">
        <v>0.95</v>
      </c>
      <c r="D52" s="238">
        <v>0.82</v>
      </c>
      <c r="E52" s="238">
        <v>3.18</v>
      </c>
      <c r="F52" s="238">
        <v>1.88</v>
      </c>
      <c r="G52" s="238">
        <v>1.66</v>
      </c>
      <c r="H52" s="238">
        <v>0.66</v>
      </c>
      <c r="I52" s="238">
        <v>2.92</v>
      </c>
      <c r="J52" s="238">
        <v>1.69</v>
      </c>
      <c r="K52" s="238">
        <v>2.65</v>
      </c>
      <c r="L52" s="238">
        <v>1.18</v>
      </c>
      <c r="M52" s="238">
        <v>2.64</v>
      </c>
      <c r="N52" s="238">
        <v>1.76</v>
      </c>
    </row>
    <row r="53" spans="2:14" ht="12.75" hidden="1">
      <c r="B53" s="191" t="s">
        <v>290</v>
      </c>
      <c r="C53" s="238">
        <v>0.82</v>
      </c>
      <c r="D53" s="238">
        <v>0.67</v>
      </c>
      <c r="E53" s="238">
        <v>1.66</v>
      </c>
      <c r="F53" s="238">
        <v>0.78</v>
      </c>
      <c r="G53" s="238">
        <v>1.99</v>
      </c>
      <c r="H53" s="238">
        <v>0.61</v>
      </c>
      <c r="I53" s="238">
        <v>2.08</v>
      </c>
      <c r="J53" s="238">
        <v>1.35</v>
      </c>
      <c r="K53" s="238">
        <v>0.82</v>
      </c>
      <c r="L53" s="238">
        <v>0.67</v>
      </c>
      <c r="M53" s="238">
        <v>2.59</v>
      </c>
      <c r="N53" s="238">
        <v>1.66</v>
      </c>
    </row>
  </sheetData>
  <sheetProtection sheet="1" objects="1" scenarios="1"/>
  <mergeCells count="77">
    <mergeCell ref="B18:C18"/>
    <mergeCell ref="B21:C23"/>
    <mergeCell ref="C31:F31"/>
    <mergeCell ref="C37:F37"/>
    <mergeCell ref="B37:B38"/>
    <mergeCell ref="B31:B32"/>
    <mergeCell ref="C32:D32"/>
    <mergeCell ref="E32:F32"/>
    <mergeCell ref="C38:D38"/>
    <mergeCell ref="E38:F38"/>
    <mergeCell ref="J7:J8"/>
    <mergeCell ref="H14:I14"/>
    <mergeCell ref="H9:I9"/>
    <mergeCell ref="J21:J23"/>
    <mergeCell ref="H7:I8"/>
    <mergeCell ref="H15:I15"/>
    <mergeCell ref="D21:D23"/>
    <mergeCell ref="E21:F22"/>
    <mergeCell ref="H21:I23"/>
    <mergeCell ref="H24:I24"/>
    <mergeCell ref="B7:C8"/>
    <mergeCell ref="B14:C14"/>
    <mergeCell ref="D7:D8"/>
    <mergeCell ref="H18:I18"/>
    <mergeCell ref="B9:C9"/>
    <mergeCell ref="B15:C15"/>
    <mergeCell ref="B10:C10"/>
    <mergeCell ref="B11:C11"/>
    <mergeCell ref="B12:C12"/>
    <mergeCell ref="B13:C13"/>
    <mergeCell ref="B24:C24"/>
    <mergeCell ref="B27:C27"/>
    <mergeCell ref="H27:I27"/>
    <mergeCell ref="B25:C25"/>
    <mergeCell ref="H25:I25"/>
    <mergeCell ref="B26:C26"/>
    <mergeCell ref="H26:I26"/>
    <mergeCell ref="B16:C16"/>
    <mergeCell ref="H10:I10"/>
    <mergeCell ref="H11:I11"/>
    <mergeCell ref="H12:I12"/>
    <mergeCell ref="H13:I13"/>
    <mergeCell ref="H16:I16"/>
    <mergeCell ref="B43:B44"/>
    <mergeCell ref="C43:F43"/>
    <mergeCell ref="C44:D44"/>
    <mergeCell ref="E44:F44"/>
    <mergeCell ref="B49:B50"/>
    <mergeCell ref="C49:F49"/>
    <mergeCell ref="C50:D50"/>
    <mergeCell ref="E50:F50"/>
    <mergeCell ref="G31:J31"/>
    <mergeCell ref="G32:H32"/>
    <mergeCell ref="I32:J32"/>
    <mergeCell ref="K31:N31"/>
    <mergeCell ref="K32:L32"/>
    <mergeCell ref="M32:N32"/>
    <mergeCell ref="G37:J37"/>
    <mergeCell ref="K37:N37"/>
    <mergeCell ref="G38:H38"/>
    <mergeCell ref="I38:J38"/>
    <mergeCell ref="K38:L38"/>
    <mergeCell ref="M38:N38"/>
    <mergeCell ref="G50:H50"/>
    <mergeCell ref="I50:J50"/>
    <mergeCell ref="K50:L50"/>
    <mergeCell ref="M50:N50"/>
    <mergeCell ref="B28:C28"/>
    <mergeCell ref="H28:I28"/>
    <mergeCell ref="G49:J49"/>
    <mergeCell ref="K49:N49"/>
    <mergeCell ref="G43:J43"/>
    <mergeCell ref="K43:N43"/>
    <mergeCell ref="G44:H44"/>
    <mergeCell ref="I44:J44"/>
    <mergeCell ref="K44:L44"/>
    <mergeCell ref="M44:N44"/>
  </mergeCells>
  <conditionalFormatting sqref="D17">
    <cfRule type="cellIs" priority="1" dxfId="0" operator="equal" stopIfTrue="1">
      <formula>0</formula>
    </cfRule>
  </conditionalFormatting>
  <printOptions horizontalCentered="1"/>
  <pageMargins left="0.75" right="0.75" top="1" bottom="1" header="0.5118110236220472" footer="0.5118110236220472"/>
  <pageSetup horizontalDpi="300" verticalDpi="300" orientation="landscape" r:id="rId4"/>
  <headerFooter alignWithMargins="0">
    <oddFooter>&amp;L&amp;D&amp;R&amp;P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D15"/>
  <sheetViews>
    <sheetView showGridLines="0" showRowColHeaders="0" showZero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29.28125" style="0" customWidth="1"/>
    <col min="3" max="12" width="10.7109375" style="0" customWidth="1"/>
    <col min="13" max="16384" width="9.140625" style="0" customWidth="1"/>
  </cols>
  <sheetData>
    <row r="1" spans="1:56" ht="18" customHeight="1">
      <c r="A1" s="5"/>
      <c r="B1" s="43"/>
      <c r="C1" s="5"/>
      <c r="D1" s="5"/>
      <c r="E1" s="44"/>
      <c r="F1" s="5"/>
      <c r="G1" s="5"/>
      <c r="H1" s="4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8" customHeight="1">
      <c r="A2" s="5"/>
      <c r="B2" s="4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18" customHeight="1">
      <c r="A3" s="5"/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ht="18" customHeight="1"/>
    <row r="6" ht="18.75" thickBot="1">
      <c r="B6" s="23" t="s">
        <v>91</v>
      </c>
    </row>
    <row r="7" spans="2:12" ht="13.5" thickBot="1">
      <c r="B7" s="660" t="s">
        <v>40</v>
      </c>
      <c r="C7" s="665" t="s">
        <v>336</v>
      </c>
      <c r="D7" s="666"/>
      <c r="E7" s="666"/>
      <c r="F7" s="666"/>
      <c r="G7" s="667" t="str">
        <f>'EVALUACION PRIVADA'!C14</f>
        <v>Dólares</v>
      </c>
      <c r="H7" s="668"/>
      <c r="I7" s="662" t="s">
        <v>355</v>
      </c>
      <c r="J7" s="663"/>
      <c r="K7" s="664"/>
      <c r="L7" s="660" t="s">
        <v>211</v>
      </c>
    </row>
    <row r="8" spans="2:12" ht="39" thickBot="1">
      <c r="B8" s="661"/>
      <c r="C8" s="149" t="s">
        <v>212</v>
      </c>
      <c r="D8" s="150" t="s">
        <v>213</v>
      </c>
      <c r="E8" s="150" t="s">
        <v>277</v>
      </c>
      <c r="F8" s="150" t="s">
        <v>214</v>
      </c>
      <c r="G8" s="150" t="s">
        <v>215</v>
      </c>
      <c r="H8" s="151" t="s">
        <v>221</v>
      </c>
      <c r="I8" s="150" t="s">
        <v>216</v>
      </c>
      <c r="J8" s="151" t="s">
        <v>41</v>
      </c>
      <c r="K8" s="151" t="s">
        <v>217</v>
      </c>
      <c r="L8" s="661"/>
    </row>
    <row r="9" spans="2:12" ht="15" customHeight="1">
      <c r="B9" s="145" t="s">
        <v>42</v>
      </c>
      <c r="C9" s="143"/>
      <c r="D9" s="143"/>
      <c r="E9" s="143"/>
      <c r="F9" s="143"/>
      <c r="G9" s="143"/>
      <c r="H9" s="144">
        <f aca="true" t="shared" si="0" ref="H9:H14">SUM(C9:G9)</f>
        <v>0</v>
      </c>
      <c r="I9" s="143"/>
      <c r="J9" s="143"/>
      <c r="K9" s="144">
        <f aca="true" t="shared" si="1" ref="K9:K14">SUM(I9:J9)</f>
        <v>0</v>
      </c>
      <c r="L9" s="144">
        <f aca="true" t="shared" si="2" ref="L9:L14">H9+K9</f>
        <v>0</v>
      </c>
    </row>
    <row r="10" spans="2:12" ht="15" customHeight="1">
      <c r="B10" s="146" t="s">
        <v>43</v>
      </c>
      <c r="C10" s="143"/>
      <c r="D10" s="20"/>
      <c r="E10" s="20"/>
      <c r="F10" s="20"/>
      <c r="G10" s="20"/>
      <c r="H10" s="144">
        <f t="shared" si="0"/>
        <v>0</v>
      </c>
      <c r="I10" s="20"/>
      <c r="J10" s="20"/>
      <c r="K10" s="144">
        <f t="shared" si="1"/>
        <v>0</v>
      </c>
      <c r="L10" s="144">
        <f t="shared" si="2"/>
        <v>0</v>
      </c>
    </row>
    <row r="11" spans="2:12" ht="15" customHeight="1">
      <c r="B11" s="146" t="s">
        <v>44</v>
      </c>
      <c r="C11" s="143"/>
      <c r="D11" s="20"/>
      <c r="E11" s="20"/>
      <c r="F11" s="20"/>
      <c r="G11" s="20"/>
      <c r="H11" s="144">
        <f t="shared" si="0"/>
        <v>0</v>
      </c>
      <c r="I11" s="20"/>
      <c r="J11" s="20"/>
      <c r="K11" s="144">
        <f t="shared" si="1"/>
        <v>0</v>
      </c>
      <c r="L11" s="144">
        <f t="shared" si="2"/>
        <v>0</v>
      </c>
    </row>
    <row r="12" spans="2:12" ht="15" customHeight="1">
      <c r="B12" s="146" t="s">
        <v>45</v>
      </c>
      <c r="C12" s="143"/>
      <c r="D12" s="20"/>
      <c r="E12" s="20"/>
      <c r="F12" s="20"/>
      <c r="G12" s="20"/>
      <c r="H12" s="144">
        <f t="shared" si="0"/>
        <v>0</v>
      </c>
      <c r="I12" s="20"/>
      <c r="J12" s="20"/>
      <c r="K12" s="144">
        <f t="shared" si="1"/>
        <v>0</v>
      </c>
      <c r="L12" s="144">
        <f t="shared" si="2"/>
        <v>0</v>
      </c>
    </row>
    <row r="13" spans="2:12" ht="15" customHeight="1">
      <c r="B13" s="146" t="s">
        <v>46</v>
      </c>
      <c r="C13" s="143"/>
      <c r="D13" s="20"/>
      <c r="E13" s="20"/>
      <c r="F13" s="20"/>
      <c r="G13" s="20"/>
      <c r="H13" s="144">
        <f t="shared" si="0"/>
        <v>0</v>
      </c>
      <c r="I13" s="20"/>
      <c r="J13" s="20"/>
      <c r="K13" s="144">
        <f t="shared" si="1"/>
        <v>0</v>
      </c>
      <c r="L13" s="144">
        <f t="shared" si="2"/>
        <v>0</v>
      </c>
    </row>
    <row r="14" spans="2:12" ht="15" customHeight="1" thickBot="1">
      <c r="B14" s="147" t="s">
        <v>218</v>
      </c>
      <c r="C14" s="143"/>
      <c r="D14" s="141"/>
      <c r="E14" s="141"/>
      <c r="F14" s="141"/>
      <c r="G14" s="141"/>
      <c r="H14" s="144">
        <f t="shared" si="0"/>
        <v>0</v>
      </c>
      <c r="I14" s="141"/>
      <c r="J14" s="141"/>
      <c r="K14" s="144">
        <f t="shared" si="1"/>
        <v>0</v>
      </c>
      <c r="L14" s="144">
        <f t="shared" si="2"/>
        <v>0</v>
      </c>
    </row>
    <row r="15" spans="2:12" ht="15" customHeight="1" thickBot="1">
      <c r="B15" s="148" t="s">
        <v>50</v>
      </c>
      <c r="C15" s="144">
        <f aca="true" t="shared" si="3" ref="C15:L15">SUM(C9:C14)</f>
        <v>0</v>
      </c>
      <c r="D15" s="144">
        <f t="shared" si="3"/>
        <v>0</v>
      </c>
      <c r="E15" s="144">
        <f t="shared" si="3"/>
        <v>0</v>
      </c>
      <c r="F15" s="144">
        <f t="shared" si="3"/>
        <v>0</v>
      </c>
      <c r="G15" s="144">
        <f t="shared" si="3"/>
        <v>0</v>
      </c>
      <c r="H15" s="144">
        <f t="shared" si="3"/>
        <v>0</v>
      </c>
      <c r="I15" s="144">
        <f t="shared" si="3"/>
        <v>0</v>
      </c>
      <c r="J15" s="144">
        <f t="shared" si="3"/>
        <v>0</v>
      </c>
      <c r="K15" s="144">
        <f t="shared" si="3"/>
        <v>0</v>
      </c>
      <c r="L15" s="144">
        <f t="shared" si="3"/>
        <v>0</v>
      </c>
    </row>
  </sheetData>
  <sheetProtection sheet="1" objects="1" scenarios="1"/>
  <mergeCells count="5">
    <mergeCell ref="B7:B8"/>
    <mergeCell ref="I7:K7"/>
    <mergeCell ref="L7:L8"/>
    <mergeCell ref="C7:F7"/>
    <mergeCell ref="G7:H7"/>
  </mergeCells>
  <printOptions horizontalCentered="1"/>
  <pageMargins left="0.75" right="0.75" top="1" bottom="1" header="0.5118110236220472" footer="0.5118110236220472"/>
  <pageSetup fitToHeight="1" fitToWidth="1" horizontalDpi="300" verticalDpi="300" orientation="landscape" scale="87" r:id="rId3"/>
  <headerFooter alignWithMargins="0">
    <oddFooter>&amp;L&amp;D&amp;R&amp;P de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J35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14.28125" style="0" customWidth="1"/>
    <col min="3" max="3" width="12.421875" style="0" customWidth="1"/>
    <col min="4" max="6" width="11.7109375" style="0" customWidth="1"/>
    <col min="7" max="7" width="13.57421875" style="0" customWidth="1"/>
    <col min="8" max="8" width="13.28125" style="0" customWidth="1"/>
    <col min="9" max="12" width="11.7109375" style="0" customWidth="1"/>
    <col min="13" max="16384" width="9.140625" style="0" customWidth="1"/>
  </cols>
  <sheetData>
    <row r="1" spans="1:62" ht="18" customHeight="1">
      <c r="A1" s="5"/>
      <c r="B1" s="200">
        <f>tirp</f>
        <v>0</v>
      </c>
      <c r="C1" s="5"/>
      <c r="D1" s="5"/>
      <c r="E1" s="44"/>
      <c r="F1" s="5"/>
      <c r="G1" s="5"/>
      <c r="H1" s="4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8" customHeight="1">
      <c r="A2" s="5"/>
      <c r="B2" s="4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8" customHeight="1">
      <c r="A3" s="5"/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6" ht="18">
      <c r="B6" s="23" t="s">
        <v>92</v>
      </c>
    </row>
    <row r="7" ht="15.75">
      <c r="B7" s="64"/>
    </row>
    <row r="8" spans="2:5" ht="12.75">
      <c r="B8" s="649" t="s">
        <v>65</v>
      </c>
      <c r="C8" s="649"/>
      <c r="D8" s="653" t="s">
        <v>60</v>
      </c>
      <c r="E8" s="653" t="s">
        <v>227</v>
      </c>
    </row>
    <row r="9" spans="2:5" ht="16.5" customHeight="1">
      <c r="B9" s="649"/>
      <c r="C9" s="649"/>
      <c r="D9" s="653"/>
      <c r="E9" s="653"/>
    </row>
    <row r="10" spans="2:6" ht="12.75">
      <c r="B10" s="641" t="s">
        <v>127</v>
      </c>
      <c r="C10" s="641"/>
      <c r="D10" s="193">
        <f>TotalInversionPrivada</f>
        <v>0</v>
      </c>
      <c r="E10" s="195">
        <v>1</v>
      </c>
      <c r="F10" s="24"/>
    </row>
    <row r="11" spans="2:5" ht="13.5" customHeight="1">
      <c r="B11" s="641" t="s">
        <v>285</v>
      </c>
      <c r="C11" s="641"/>
      <c r="D11" s="193">
        <f>TotalOperacionPrivada</f>
        <v>0</v>
      </c>
      <c r="E11" s="195">
        <v>1</v>
      </c>
    </row>
    <row r="12" spans="2:5" ht="12.75">
      <c r="B12" s="641" t="s">
        <v>22</v>
      </c>
      <c r="C12" s="641"/>
      <c r="D12" s="193">
        <f>PoblacionAfectada</f>
        <v>0</v>
      </c>
      <c r="E12" s="195">
        <v>1</v>
      </c>
    </row>
    <row r="13" spans="2:5" ht="13.5" customHeight="1">
      <c r="B13" s="669" t="s">
        <v>226</v>
      </c>
      <c r="C13" s="670"/>
      <c r="D13" s="193">
        <f>TotalAtenciones</f>
        <v>0</v>
      </c>
      <c r="E13" s="195">
        <v>1</v>
      </c>
    </row>
    <row r="14" spans="2:5" ht="13.5" customHeight="1">
      <c r="B14" s="669" t="s">
        <v>323</v>
      </c>
      <c r="C14" s="670"/>
      <c r="D14" s="193">
        <f>TamañoTotal</f>
        <v>0</v>
      </c>
      <c r="E14" s="195">
        <v>1</v>
      </c>
    </row>
    <row r="15" spans="2:5" ht="13.5" customHeight="1">
      <c r="B15" s="24"/>
      <c r="C15" s="24"/>
      <c r="D15" s="24"/>
      <c r="E15" s="24"/>
    </row>
    <row r="16" spans="2:10" ht="13.5" customHeight="1">
      <c r="B16" s="649" t="s">
        <v>52</v>
      </c>
      <c r="C16" s="649"/>
      <c r="D16" s="649" t="s">
        <v>53</v>
      </c>
      <c r="E16" s="649" t="s">
        <v>284</v>
      </c>
      <c r="G16" s="649" t="s">
        <v>52</v>
      </c>
      <c r="H16" s="649"/>
      <c r="I16" s="649" t="s">
        <v>53</v>
      </c>
      <c r="J16" s="649" t="s">
        <v>284</v>
      </c>
    </row>
    <row r="17" spans="2:10" ht="13.5" customHeight="1">
      <c r="B17" s="649"/>
      <c r="C17" s="649"/>
      <c r="D17" s="649"/>
      <c r="E17" s="649"/>
      <c r="G17" s="649"/>
      <c r="H17" s="649"/>
      <c r="I17" s="649"/>
      <c r="J17" s="649"/>
    </row>
    <row r="18" spans="2:10" ht="13.5" customHeight="1">
      <c r="B18" s="641" t="s">
        <v>66</v>
      </c>
      <c r="C18" s="641"/>
      <c r="D18" s="193">
        <f>vacp1</f>
        <v>0</v>
      </c>
      <c r="E18" s="237">
        <f>IF(INDICADORES!D9&lt;&gt;0,(Ind11-INDICADORES!D9)/INDICADORES!D9,0)</f>
        <v>0</v>
      </c>
      <c r="G18" s="641" t="s">
        <v>67</v>
      </c>
      <c r="H18" s="641"/>
      <c r="I18" s="193">
        <f>vacs1</f>
        <v>0</v>
      </c>
      <c r="J18" s="237">
        <f>IF(INDICADORES!J9&lt;&gt;0,(Ind21-INDICADORES!J9)/INDICADORES!J9,0)</f>
        <v>0</v>
      </c>
    </row>
    <row r="19" spans="2:10" ht="13.5" customHeight="1">
      <c r="B19" s="648" t="s">
        <v>306</v>
      </c>
      <c r="C19" s="648"/>
      <c r="D19" s="193">
        <f>vacp2</f>
        <v>0</v>
      </c>
      <c r="E19" s="237">
        <f>IF(INDICADORES!D10&lt;&gt;0,(Ind12-INDICADORES!D10)/INDICADORES!D10,0)</f>
        <v>0</v>
      </c>
      <c r="G19" s="648" t="s">
        <v>313</v>
      </c>
      <c r="H19" s="648"/>
      <c r="I19" s="193">
        <f>vacs2</f>
        <v>0</v>
      </c>
      <c r="J19" s="237">
        <f>IF(INDICADORES!J10&lt;&gt;0,(Ind22-INDICADORES!J10)/INDICADORES!J10,0)</f>
        <v>0</v>
      </c>
    </row>
    <row r="20" spans="2:10" ht="13.5" customHeight="1">
      <c r="B20" s="648" t="s">
        <v>321</v>
      </c>
      <c r="C20" s="648"/>
      <c r="D20" s="193">
        <f>vacp3</f>
        <v>0</v>
      </c>
      <c r="E20" s="237">
        <f>IF(INDICADORES!D11&lt;&gt;0,(Ind13-INDICADORES!D11)/INDICADORES!D11,0)</f>
        <v>0</v>
      </c>
      <c r="G20" s="648" t="s">
        <v>322</v>
      </c>
      <c r="H20" s="648"/>
      <c r="I20" s="193">
        <f>vacs3</f>
        <v>0</v>
      </c>
      <c r="J20" s="237">
        <f>IF(INDICADORES!J11&lt;&gt;0,(Ind23-INDICADORES!J11)/INDICADORES!J11,0)</f>
        <v>0</v>
      </c>
    </row>
    <row r="21" spans="2:10" ht="13.5" customHeight="1">
      <c r="B21" s="648" t="s">
        <v>308</v>
      </c>
      <c r="C21" s="648"/>
      <c r="D21" s="193">
        <f>vacp4</f>
        <v>0</v>
      </c>
      <c r="E21" s="237">
        <f>IF(INDICADORES!D12&lt;&gt;0,(Ind14-INDICADORES!D12)/INDICADORES!D12,0)</f>
        <v>0</v>
      </c>
      <c r="G21" s="648" t="s">
        <v>315</v>
      </c>
      <c r="H21" s="648"/>
      <c r="I21" s="193">
        <f>vacs4</f>
        <v>0</v>
      </c>
      <c r="J21" s="237">
        <f>IF(INDICADORES!J12&lt;&gt;0,(Ind24-INDICADORES!J12)/INDICADORES!J12,0)</f>
        <v>0</v>
      </c>
    </row>
    <row r="22" spans="2:10" ht="13.5" customHeight="1">
      <c r="B22" s="648" t="s">
        <v>310</v>
      </c>
      <c r="C22" s="648"/>
      <c r="D22" s="193">
        <f>vacp5</f>
        <v>0</v>
      </c>
      <c r="E22" s="237">
        <f>IF(INDICADORES!D13&lt;&gt;0,(Ind15-INDICADORES!D13)/INDICADORES!D13,0)</f>
        <v>0</v>
      </c>
      <c r="G22" s="648" t="s">
        <v>316</v>
      </c>
      <c r="H22" s="648"/>
      <c r="I22" s="193">
        <f>vacs5</f>
        <v>0</v>
      </c>
      <c r="J22" s="237">
        <f>IF(INDICADORES!J13&lt;&gt;0,(Ind25-INDICADORES!J13)/INDICADORES!J13,0)</f>
        <v>0</v>
      </c>
    </row>
    <row r="23" spans="2:10" ht="13.5" customHeight="1">
      <c r="B23" s="641" t="s">
        <v>55</v>
      </c>
      <c r="C23" s="641"/>
      <c r="D23" s="193">
        <f>vanp1</f>
        <v>0</v>
      </c>
      <c r="E23" s="237">
        <f>IF(INDICADORES!D14&lt;&gt;0,(Ind16-INDICADORES!D14)/ABS(INDICADORES!D14),0)</f>
        <v>0</v>
      </c>
      <c r="G23" s="641" t="s">
        <v>54</v>
      </c>
      <c r="H23" s="641"/>
      <c r="I23" s="225"/>
      <c r="J23" s="237"/>
    </row>
    <row r="24" spans="2:10" ht="13.5" customHeight="1">
      <c r="B24" s="641" t="s">
        <v>56</v>
      </c>
      <c r="C24" s="641"/>
      <c r="D24" s="193">
        <f>caep1</f>
        <v>0</v>
      </c>
      <c r="E24" s="237">
        <f>IF(INDICADORES!D15&lt;&gt;0,(Ind17-INDICADORES!D15)/INDICADORES!D15,0)</f>
        <v>0</v>
      </c>
      <c r="G24" s="641" t="s">
        <v>51</v>
      </c>
      <c r="H24" s="641"/>
      <c r="I24" s="193">
        <f>caes1</f>
        <v>0</v>
      </c>
      <c r="J24" s="237">
        <f>IF(INDICADORES!J15&lt;&gt;0,(Ind27-INDICADORES!J15)/INDICADORES!J15,0)</f>
        <v>0</v>
      </c>
    </row>
    <row r="25" spans="2:10" ht="13.5" customHeight="1">
      <c r="B25" s="647" t="s">
        <v>309</v>
      </c>
      <c r="C25" s="647"/>
      <c r="D25" s="193">
        <f>caep2</f>
        <v>0</v>
      </c>
      <c r="E25" s="237">
        <f>IF(INDICADORES!D16&lt;&gt;0,(Ind18-INDICADORES!D16)/INDICADORES!D16,0)</f>
        <v>0</v>
      </c>
      <c r="G25" s="647" t="s">
        <v>317</v>
      </c>
      <c r="H25" s="647"/>
      <c r="I25" s="193">
        <f>caes2</f>
        <v>0</v>
      </c>
      <c r="J25" s="237">
        <f>IF(INDICADORES!J16&lt;&gt;0,(Ind28-INDICADORES!J16)/INDICADORES!J16,0)</f>
        <v>0</v>
      </c>
    </row>
    <row r="26" spans="2:10" ht="13.5" customHeight="1">
      <c r="B26" s="194" t="s">
        <v>279</v>
      </c>
      <c r="C26" s="195">
        <v>0.1</v>
      </c>
      <c r="D26" s="193">
        <f>IF(ISERROR(Ind19Error),0,Ind19Error)</f>
        <v>0</v>
      </c>
      <c r="E26" s="237">
        <f>IF(INDICADORES!D17&lt;&gt;0,(Ind19-INDICADORES!D17)/ABS(INDICADORES!D17),0)</f>
        <v>0</v>
      </c>
      <c r="G26" s="194" t="s">
        <v>281</v>
      </c>
      <c r="H26" s="195">
        <v>0.1</v>
      </c>
      <c r="I26" s="225"/>
      <c r="J26" s="237"/>
    </row>
    <row r="27" spans="2:10" ht="13.5" customHeight="1">
      <c r="B27" s="641" t="s">
        <v>292</v>
      </c>
      <c r="C27" s="641"/>
      <c r="D27" s="193">
        <f>BeneficioCostoPrivado</f>
        <v>0</v>
      </c>
      <c r="E27" s="237">
        <f>IF(INDICADORES!D18&lt;&gt;0,(Ind110-INDICADORES!D18)/INDICADORES!D18,0)</f>
        <v>0</v>
      </c>
      <c r="G27" s="641" t="s">
        <v>293</v>
      </c>
      <c r="H27" s="641"/>
      <c r="I27" s="225"/>
      <c r="J27" s="237"/>
    </row>
    <row r="28" ht="13.5" customHeight="1"/>
    <row r="29" spans="2:10" ht="13.5" customHeight="1">
      <c r="B29" s="650" t="s">
        <v>52</v>
      </c>
      <c r="C29" s="654"/>
      <c r="D29" s="650" t="s">
        <v>53</v>
      </c>
      <c r="E29" s="649" t="s">
        <v>284</v>
      </c>
      <c r="G29" s="650" t="s">
        <v>52</v>
      </c>
      <c r="H29" s="654"/>
      <c r="I29" s="658" t="s">
        <v>53</v>
      </c>
      <c r="J29" s="649" t="s">
        <v>284</v>
      </c>
    </row>
    <row r="30" spans="2:10" ht="13.5" customHeight="1">
      <c r="B30" s="651"/>
      <c r="C30" s="655"/>
      <c r="D30" s="651"/>
      <c r="E30" s="649"/>
      <c r="G30" s="656"/>
      <c r="H30" s="657"/>
      <c r="I30" s="652"/>
      <c r="J30" s="649"/>
    </row>
    <row r="31" spans="2:10" ht="13.5" customHeight="1">
      <c r="B31" s="641" t="s">
        <v>304</v>
      </c>
      <c r="C31" s="641"/>
      <c r="D31" s="193">
        <f>IF(PoblacionAfectada&gt;0,D18/PoblacionAfectada*variacionpoblacion,)</f>
        <v>0</v>
      </c>
      <c r="E31" s="237">
        <f>IF(INDICADORES!D24&lt;&gt;0,(IndCE17-INDICADORES!D24)/INDICADORES!D24,0)</f>
        <v>0</v>
      </c>
      <c r="F31" s="236"/>
      <c r="G31" s="641" t="s">
        <v>305</v>
      </c>
      <c r="H31" s="641"/>
      <c r="I31" s="193">
        <f>IF(PoblacionAfectada&gt;0,I18/PoblacionAfectada*variacionpoblacion,)</f>
        <v>0</v>
      </c>
      <c r="J31" s="237">
        <f>IF(INDICADORES!J24&lt;&gt;0,(IndCE27-INDICADORES!J24)/INDICADORES!J24,0)</f>
        <v>0</v>
      </c>
    </row>
    <row r="32" spans="2:10" s="235" customFormat="1" ht="13.5" customHeight="1">
      <c r="B32" s="641" t="s">
        <v>332</v>
      </c>
      <c r="C32" s="641"/>
      <c r="D32" s="193">
        <f>IF(TamañoTotal&gt;0,(Ind12+Ind13)/TamañoTotal*variaciontamaño,0)</f>
        <v>0</v>
      </c>
      <c r="E32" s="237">
        <f>IF(INDICADORES!D25&lt;&gt;0,(IndCE112-INDICADORES!D25)/INDICADORES!D25,0)</f>
        <v>0</v>
      </c>
      <c r="F32" s="236"/>
      <c r="G32" s="641" t="s">
        <v>333</v>
      </c>
      <c r="H32" s="641"/>
      <c r="I32" s="193">
        <f>IF(TamañoTotal&gt;0,(Ind22+Ind23)/TamañoTotal*variaciontamaño,0)</f>
        <v>0</v>
      </c>
      <c r="J32" s="237">
        <f>IF(INDICADORES!J25&lt;&gt;0,(IndCE212-INDICADORES!J25)/INDICADORES!J25,0)</f>
        <v>0</v>
      </c>
    </row>
    <row r="33" spans="2:10" ht="13.5" customHeight="1">
      <c r="B33" s="641" t="s">
        <v>300</v>
      </c>
      <c r="C33" s="641"/>
      <c r="D33" s="193">
        <f>IF(PoblacionAfectada&gt;0,D24/PoblacionAfectada*variacionpoblacion,)</f>
        <v>0</v>
      </c>
      <c r="E33" s="237">
        <f>IF(INDICADORES!D26&lt;&gt;0,(IndCE11-INDICADORES!D26)/INDICADORES!D26,0)</f>
        <v>0</v>
      </c>
      <c r="F33" s="236"/>
      <c r="G33" s="641" t="s">
        <v>301</v>
      </c>
      <c r="H33" s="641"/>
      <c r="I33" s="193">
        <f>IF(PoblacionAfectada&gt;0,I24/PoblacionAfectada*variacionpoblacion,)</f>
        <v>0</v>
      </c>
      <c r="J33" s="237">
        <f>IF(INDICADORES!J26&lt;&gt;0,(IndCE21-INDICADORES!J26)/INDICADORES!J26,0)</f>
        <v>0</v>
      </c>
    </row>
    <row r="34" spans="2:10" s="235" customFormat="1" ht="13.5" customHeight="1">
      <c r="B34" s="641" t="s">
        <v>302</v>
      </c>
      <c r="C34" s="641"/>
      <c r="D34" s="193">
        <f>IF(PoblacionAfectada&gt;0,D25/PoblacionAfectada*variacionpoblacion,)</f>
        <v>0</v>
      </c>
      <c r="E34" s="237">
        <f>IF(INDICADORES!D27&lt;&gt;0,(IndCE14-INDICADORES!D27)/INDICADORES!D27,0)</f>
        <v>0</v>
      </c>
      <c r="F34" s="236"/>
      <c r="G34" s="641" t="s">
        <v>303</v>
      </c>
      <c r="H34" s="641"/>
      <c r="I34" s="193">
        <f>IF(PoblacionAfectada&gt;0,I25/PoblacionAfectada*variacionpoblacion,)</f>
        <v>0</v>
      </c>
      <c r="J34" s="237">
        <f>IF(INDICADORES!J27&lt;&gt;0,(IndCE24-INDICADORES!J27)/INDICADORES!J27,0)</f>
        <v>0</v>
      </c>
    </row>
    <row r="35" spans="2:10" ht="13.5" customHeight="1">
      <c r="B35" s="641" t="s">
        <v>349</v>
      </c>
      <c r="C35" s="641"/>
      <c r="D35" s="193">
        <f>IF(TotalAtenciones&gt;0,D25/TotalAtenciones*variacionatenciones,0)</f>
        <v>0</v>
      </c>
      <c r="E35" s="237">
        <f>IF(INDICADORES!D28&lt;&gt;0,(IndCE18-INDICADORES!D28)/INDICADORES!D28,0)</f>
        <v>0</v>
      </c>
      <c r="G35" s="641" t="s">
        <v>350</v>
      </c>
      <c r="H35" s="641"/>
      <c r="I35" s="193">
        <f>IF(TotalAtenciones&gt;0,I25/TotalAtenciones*variacionatenciones,0)</f>
        <v>0</v>
      </c>
      <c r="J35" s="237">
        <f>IF(INDICADORES!J28&lt;&gt;0,(IndCE28-INDICADORES!J28)/INDICADORES!J28,0)</f>
        <v>0</v>
      </c>
    </row>
  </sheetData>
  <sheetProtection sheet="1" objects="1" scenarios="1"/>
  <mergeCells count="48">
    <mergeCell ref="B19:C19"/>
    <mergeCell ref="B20:C20"/>
    <mergeCell ref="B21:C21"/>
    <mergeCell ref="B29:C30"/>
    <mergeCell ref="B23:C23"/>
    <mergeCell ref="B22:C22"/>
    <mergeCell ref="B24:C24"/>
    <mergeCell ref="G18:H18"/>
    <mergeCell ref="D8:D9"/>
    <mergeCell ref="E8:E9"/>
    <mergeCell ref="B10:C10"/>
    <mergeCell ref="B13:C13"/>
    <mergeCell ref="B11:C11"/>
    <mergeCell ref="B12:C12"/>
    <mergeCell ref="B8:C9"/>
    <mergeCell ref="B18:C18"/>
    <mergeCell ref="D16:D17"/>
    <mergeCell ref="G22:H22"/>
    <mergeCell ref="G23:H23"/>
    <mergeCell ref="G24:H24"/>
    <mergeCell ref="G19:H19"/>
    <mergeCell ref="G20:H20"/>
    <mergeCell ref="G21:H21"/>
    <mergeCell ref="B16:C17"/>
    <mergeCell ref="E16:E17"/>
    <mergeCell ref="J16:J17"/>
    <mergeCell ref="B35:C35"/>
    <mergeCell ref="B33:C33"/>
    <mergeCell ref="B34:C34"/>
    <mergeCell ref="G27:H27"/>
    <mergeCell ref="B27:C27"/>
    <mergeCell ref="D29:D30"/>
    <mergeCell ref="G35:H35"/>
    <mergeCell ref="G33:H33"/>
    <mergeCell ref="G29:H30"/>
    <mergeCell ref="I29:I30"/>
    <mergeCell ref="G34:H34"/>
    <mergeCell ref="G31:H31"/>
    <mergeCell ref="B32:C32"/>
    <mergeCell ref="G32:H32"/>
    <mergeCell ref="J29:J30"/>
    <mergeCell ref="B14:C14"/>
    <mergeCell ref="E29:E30"/>
    <mergeCell ref="B31:C31"/>
    <mergeCell ref="G16:H17"/>
    <mergeCell ref="I16:I17"/>
    <mergeCell ref="G25:H25"/>
    <mergeCell ref="B25:C25"/>
  </mergeCells>
  <printOptions horizontalCentered="1"/>
  <pageMargins left="0.75" right="0.75" top="1" bottom="1" header="0.5118110236220472" footer="0.5118110236220472"/>
  <pageSetup fitToHeight="1" fitToWidth="1" horizontalDpi="300" verticalDpi="300" orientation="landscape" r:id="rId4"/>
  <headerFooter alignWithMargins="0">
    <oddFooter>&amp;L&amp;D&amp;R&amp;P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S44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21.57421875" style="0" customWidth="1"/>
    <col min="3" max="3" width="17.57421875" style="0" customWidth="1"/>
    <col min="4" max="16384" width="9.140625" style="0" customWidth="1"/>
  </cols>
  <sheetData>
    <row r="1" spans="1:45" ht="18" customHeight="1">
      <c r="A1" s="5"/>
      <c r="B1" s="43"/>
      <c r="C1" s="5"/>
      <c r="D1" s="5"/>
      <c r="E1" s="44"/>
      <c r="F1" s="45"/>
      <c r="G1" s="76"/>
      <c r="H1" s="7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18" customHeight="1">
      <c r="A2" s="5"/>
      <c r="B2" s="4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8" customHeight="1">
      <c r="A3" s="5"/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ht="12.75">
      <c r="B5" s="5"/>
    </row>
    <row r="6" ht="18">
      <c r="B6" s="77" t="s">
        <v>118</v>
      </c>
    </row>
    <row r="8" ht="12.75">
      <c r="C8" s="9"/>
    </row>
    <row r="10" ht="15">
      <c r="B10" s="58" t="s">
        <v>93</v>
      </c>
    </row>
    <row r="18" ht="12.75">
      <c r="B18" s="56" t="s">
        <v>94</v>
      </c>
    </row>
    <row r="26" spans="3:5" ht="12.75">
      <c r="C26" s="14"/>
      <c r="D26" s="671"/>
      <c r="E26" s="671"/>
    </row>
    <row r="27" ht="13.5" thickBot="1"/>
    <row r="28" spans="2:5" ht="15.75" thickBot="1">
      <c r="B28" s="61" t="s">
        <v>95</v>
      </c>
      <c r="D28" s="672"/>
      <c r="E28" s="673"/>
    </row>
    <row r="31" ht="15">
      <c r="B31" s="61" t="s">
        <v>96</v>
      </c>
    </row>
    <row r="32" ht="12.75">
      <c r="B32" s="56" t="s">
        <v>97</v>
      </c>
    </row>
    <row r="33" ht="12.75">
      <c r="B33" s="51"/>
    </row>
    <row r="34" ht="12.75">
      <c r="B34" s="51"/>
    </row>
    <row r="35" ht="12.75">
      <c r="B35" s="56" t="s">
        <v>98</v>
      </c>
    </row>
    <row r="42" spans="2:5" ht="12.75">
      <c r="B42" s="65" t="s">
        <v>15</v>
      </c>
      <c r="C42" s="2"/>
      <c r="D42" s="2"/>
      <c r="E42" s="2"/>
    </row>
    <row r="44" spans="2:5" ht="13.5" thickBot="1">
      <c r="B44" s="10"/>
      <c r="C44" s="10"/>
      <c r="D44" s="10"/>
      <c r="E44" s="10"/>
    </row>
  </sheetData>
  <sheetProtection sheet="1" objects="1" scenarios="1"/>
  <mergeCells count="2">
    <mergeCell ref="D26:E26"/>
    <mergeCell ref="D28:E28"/>
  </mergeCells>
  <printOptions horizontalCentered="1"/>
  <pageMargins left="0.75" right="0.3937007874015748" top="0.15748031496062992" bottom="1" header="0.38" footer="0.5118110236220472"/>
  <pageSetup fitToHeight="1" fitToWidth="1" horizontalDpi="360" verticalDpi="360" orientation="portrait" r:id="rId3"/>
  <headerFooter alignWithMargins="0">
    <oddFooter>&amp;L&amp;D&amp;R&amp;P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Construcción y Equipamiento en Salud</dc:title>
  <dc:subject/>
  <dc:creator>Marlon Coral</dc:creator>
  <cp:keywords/>
  <dc:description>Revisión 2.2, diciembre 2006
Jaime Paredes Verástegui, jparedes.bo@gmail.com</dc:description>
  <cp:lastModifiedBy>Jaime Paredes V.</cp:lastModifiedBy>
  <cp:lastPrinted>2003-03-17T19:25:35Z</cp:lastPrinted>
  <dcterms:created xsi:type="dcterms:W3CDTF">1999-11-16T01:21:52Z</dcterms:created>
  <dcterms:modified xsi:type="dcterms:W3CDTF">2008-01-09T15:05:52Z</dcterms:modified>
  <cp:category/>
  <cp:version/>
  <cp:contentType/>
  <cp:contentStatus/>
</cp:coreProperties>
</file>