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tabRatio="713" activeTab="0"/>
  </bookViews>
  <sheets>
    <sheet name="INDICE" sheetId="1" r:id="rId1"/>
    <sheet name="PREPARACION" sheetId="2" r:id="rId2"/>
    <sheet name="ALTERNATIVAS" sheetId="3" r:id="rId3"/>
    <sheet name="EVALUACIÓN PRIVADA" sheetId="4" r:id="rId4"/>
    <sheet name="EVALUACIÓN SOCIOECONÓMICA" sheetId="5" r:id="rId5"/>
    <sheet name="INDICADORES" sheetId="6" r:id="rId6"/>
    <sheet name="FINANCIACIÓN" sheetId="7" r:id="rId7"/>
    <sheet name="ANÁLISIS DE SENSIBILIDAD" sheetId="8" r:id="rId8"/>
    <sheet name="CONCLUSIONES" sheetId="9" r:id="rId9"/>
  </sheets>
  <definedNames>
    <definedName name="alkor">'ALTERNATIVAS'!#REF!</definedName>
    <definedName name="alternativa">'ALTERNATIVAS'!#REF!</definedName>
    <definedName name="alternativa1">'ALTERNATIVAS'!$A$4</definedName>
    <definedName name="Alternativa2">'ALTERNATIVAS'!$A$39</definedName>
    <definedName name="alternativa3">'ALTERNATIVAS'!$A$77</definedName>
    <definedName name="ALTERNATIVAS">'ALTERNATIVAS'!$A$1</definedName>
    <definedName name="AlternativaSeleccionada">'ANÁLISIS DE SENSIBILIDAD'!#REF!</definedName>
    <definedName name="ANTECEDENTES">'PREPARACION'!#REF!</definedName>
    <definedName name="AñoBase">'PREPARACION'!$J$11</definedName>
    <definedName name="años1">'PREPARACION'!$F$11</definedName>
    <definedName name="años2">'EVALUACIÓN PRIVADA'!#REF!</definedName>
    <definedName name="años3">'EVALUACIÓN PRIVADA'!#REF!</definedName>
    <definedName name="AñosInversion">'PREPARACION'!$F$12</definedName>
    <definedName name="_xlnm.Print_Area" localSheetId="7">'ANÁLISIS DE SENSIBILIDAD'!$A$4:$J$33</definedName>
    <definedName name="_xlnm.Print_Area" localSheetId="8">'CONCLUSIONES'!$A$4:$J$25</definedName>
    <definedName name="_xlnm.Print_Area" localSheetId="3">'EVALUACIÓN PRIVADA'!$4:$136</definedName>
    <definedName name="_xlnm.Print_Area" localSheetId="4">'EVALUACIÓN SOCIOECONÓMICA'!$4:$109</definedName>
    <definedName name="_xlnm.Print_Area" localSheetId="6">'FINANCIACIÓN'!$A$4:$L$24</definedName>
    <definedName name="_xlnm.Print_Area" localSheetId="1">'PREPARACION'!$A$4:$K$152</definedName>
    <definedName name="bcaeinicial1">'EVALUACIÓN PRIVADA'!$B$99</definedName>
    <definedName name="bcaeinicial2">'EVALUACIÓN PRIVADA'!#REF!</definedName>
    <definedName name="bcaeinicial3">'EVALUACIÓN PRIVADA'!#REF!</definedName>
    <definedName name="bcaminicial1">'EVALUACIÓN PRIVADA'!$B$100</definedName>
    <definedName name="bcaminicial2">'EVALUACIÓN PRIVADA'!#REF!</definedName>
    <definedName name="bcaminicial3">'EVALUACIÓN PRIVADA'!#REF!</definedName>
    <definedName name="BeneficioCostoPrivado">'EVALUACIÓN PRIVADA'!$E$109</definedName>
    <definedName name="BeneficioCostoSocial">'EVALUACIÓN SOCIOECONÓMICA'!$F$108</definedName>
    <definedName name="caep1">'EVALUACIÓN PRIVADA'!$D$107</definedName>
    <definedName name="caep2">'EVALUACIÓN PRIVADA'!#REF!</definedName>
    <definedName name="caep3">'EVALUACIÓN PRIVADA'!#REF!</definedName>
    <definedName name="caes1">'EVALUACIÓN SOCIOECONÓMICA'!$D$106</definedName>
    <definedName name="caes2">'EVALUACIÓN SOCIOECONÓMICA'!#REF!</definedName>
    <definedName name="caes3">'EVALUACIÓN SOCIOECONÓMICA'!#REF!</definedName>
    <definedName name="CambioInversion">'EVALUACIÓN PRIVADA'!$D$37</definedName>
    <definedName name="cap1">'EVALUACIÓN PRIVADA'!$E$107</definedName>
    <definedName name="cap2">'EVALUACIÓN PRIVADA'!#REF!</definedName>
    <definedName name="cap3">'EVALUACIÓN PRIVADA'!#REF!</definedName>
    <definedName name="cas1">'EVALUACIÓN SOCIOECONÓMICA'!$F$106</definedName>
    <definedName name="cas2">'EVALUACIÓN SOCIOECONÓMICA'!#REF!</definedName>
    <definedName name="cas3">'EVALUACIÓN SOCIOECONÓMICA'!#REF!</definedName>
    <definedName name="celda0">'PREPARACION'!#REF!</definedName>
    <definedName name="Celda1">'EVALUACIÓN PRIVADA'!$E$24</definedName>
    <definedName name="celda10">'EVALUACIÓN SOCIOECONÓMICA'!#REF!</definedName>
    <definedName name="celda10a">'EVALUACIÓN SOCIOECONÓMICA'!#REF!</definedName>
    <definedName name="celda11">'EVALUACIÓN SOCIOECONÓMICA'!#REF!</definedName>
    <definedName name="celda11a">'EVALUACIÓN SOCIOECONÓMICA'!#REF!</definedName>
    <definedName name="celda12">'EVALUACIÓN PRIVADA'!#REF!</definedName>
    <definedName name="celda12a">'EVALUACIÓN PRIVADA'!#REF!</definedName>
    <definedName name="celda13">'EVALUACIÓN PRIVADA'!#REF!</definedName>
    <definedName name="celda13a">'EVALUACIÓN PRIVADA'!#REF!</definedName>
    <definedName name="celda14">'EVALUACIÓN PRIVADA'!#REF!</definedName>
    <definedName name="celda14a">'EVALUACIÓN PRIVADA'!#REF!</definedName>
    <definedName name="celda15">'EVALUACIÓN PRIVADA'!#REF!</definedName>
    <definedName name="celda15a">'EVALUACIÓN PRIVADA'!$D$119</definedName>
    <definedName name="celda16">'EVALUACIÓN PRIVADA'!#REF!</definedName>
    <definedName name="Celda16a">'PREPARACION'!$F$97</definedName>
    <definedName name="Celda16b">'PREPARACION'!$F$99</definedName>
    <definedName name="celda17">'EVALUACIÓN PRIVADA'!$D$146</definedName>
    <definedName name="Celda17a">'PREPARACION'!$F$117</definedName>
    <definedName name="Celda17b">'PREPARACION'!$F$119</definedName>
    <definedName name="celda18">'FINANCIACIÓN'!#REF!</definedName>
    <definedName name="Celda18a">'PREPARACION'!$F$107</definedName>
    <definedName name="Celda18b">'PREPARACION'!$F$109</definedName>
    <definedName name="celda19">'PREPARACION'!#REF!</definedName>
    <definedName name="celda1a">'EVALUACIÓN PRIVADA'!$E$25</definedName>
    <definedName name="celda1b">'EVALUACIÓN PRIVADA'!$F$26</definedName>
    <definedName name="celda1c">'EVALUACIÓN PRIVADA'!$F$30</definedName>
    <definedName name="celda2">'EVALUACIÓN PRIVADA'!$D$39</definedName>
    <definedName name="celda20">'ALTERNATIVAS'!#REF!</definedName>
    <definedName name="celda21">'EVALUACIÓN PRIVADA'!$D$114</definedName>
    <definedName name="celda21a">'EVALUACIÓN PRIVADA'!$D$115</definedName>
    <definedName name="celda21b">'EVALUACIÓN PRIVADA'!$E$116</definedName>
    <definedName name="celda21c">'EVALUACIÓN PRIVADA'!#REF!</definedName>
    <definedName name="celda22">'EVALUACIÓN PRIVADA'!#REF!</definedName>
    <definedName name="celda22a">'EVALUACIÓN PRIVADA'!#REF!</definedName>
    <definedName name="celda22b">'EVALUACIÓN PRIVADA'!#REF!</definedName>
    <definedName name="celda22c">'EVALUACIÓN PRIVADA'!#REF!</definedName>
    <definedName name="celda22d">'EVALUACIÓN PRIVADA'!#REF!</definedName>
    <definedName name="celda22e">'EVALUACIÓN PRIVADA'!#REF!</definedName>
    <definedName name="celda22f">'EVALUACIÓN PRIVADA'!#REF!</definedName>
    <definedName name="celda22g">'EVALUACIÓN PRIVADA'!#REF!</definedName>
    <definedName name="celda22h">'EVALUACIÓN PRIVADA'!#REF!</definedName>
    <definedName name="celda22i">'EVALUACIÓN PRIVADA'!#REF!</definedName>
    <definedName name="celda22j">'EVALUACIÓN PRIVADA'!#REF!</definedName>
    <definedName name="celda23">'EVALUACIÓN SOCIOECONÓMICA'!#REF!</definedName>
    <definedName name="celda23a">'EVALUACIÓN SOCIOECONÓMICA'!#REF!</definedName>
    <definedName name="celda23b">'EVALUACIÓN SOCIOECONÓMICA'!#REF!</definedName>
    <definedName name="celda23c">'EVALUACIÓN SOCIOECONÓMICA'!#REF!</definedName>
    <definedName name="celda24">'EVALUACIÓN SOCIOECONÓMICA'!#REF!</definedName>
    <definedName name="celda24a">'EVALUACIÓN SOCIOECONÓMICA'!#REF!</definedName>
    <definedName name="celda24b">'EVALUACIÓN SOCIOECONÓMICA'!#REF!</definedName>
    <definedName name="celda24c">'EVALUACIÓN SOCIOECONÓMICA'!#REF!</definedName>
    <definedName name="celda24d">'EVALUACIÓN SOCIOECONÓMICA'!#REF!</definedName>
    <definedName name="celda24e">'EVALUACIÓN SOCIOECONÓMICA'!#REF!</definedName>
    <definedName name="celda24f">'EVALUACIÓN SOCIOECONÓMICA'!#REF!</definedName>
    <definedName name="celda24g">'EVALUACIÓN SOCIOECONÓMICA'!#REF!</definedName>
    <definedName name="celda24h">'EVALUACIÓN SOCIOECONÓMICA'!#REF!</definedName>
    <definedName name="celda25">'EVALUACIÓN SOCIOECONÓMICA'!#REF!</definedName>
    <definedName name="celda26">'EVALUACIÓN SOCIOECONÓMICA'!#REF!</definedName>
    <definedName name="celda27">'EVALUACIÓN SOCIOECONÓMICA'!#REF!</definedName>
    <definedName name="celda28">'EVALUACIÓN SOCIOECONÓMICA'!#REF!</definedName>
    <definedName name="celda29">'EVALUACIÓN PRIVADA'!#REF!</definedName>
    <definedName name="celda2a">'EVALUACIÓN PRIVADA'!$D$40</definedName>
    <definedName name="celda2b">'EVALUACIÓN PRIVADA'!$E$73</definedName>
    <definedName name="celda2c">'EVALUACIÓN PRIVADA'!$E$42</definedName>
    <definedName name="celda2d">'EVALUACIÓN PRIVADA'!$E$50</definedName>
    <definedName name="celda2e">'EVALUACIÓN PRIVADA'!$E$58</definedName>
    <definedName name="celda2f">'EVALUACIÓN PRIVADA'!$E$66</definedName>
    <definedName name="celda2g">'EVALUACIÓN PRIVADA'!$E$99</definedName>
    <definedName name="celda2h">'EVALUACIÓN PRIVADA'!#REF!</definedName>
    <definedName name="celda2i">'EVALUACIÓN PRIVADA'!#REF!</definedName>
    <definedName name="celda2j">'EVALUACIÓN PRIVADA'!$E$103</definedName>
    <definedName name="celda2k">'EVALUACIÓN PRIVADA'!$E$135</definedName>
    <definedName name="celda3">'EVALUACIÓN SOCIOECONÓMICA'!$F$22</definedName>
    <definedName name="celda30">'EVALUACIÓN PRIVADA'!#REF!</definedName>
    <definedName name="celda31">'EVALUACIÓN PRIVADA'!#REF!</definedName>
    <definedName name="celda31a">'EVALUACIÓN PRIVADA'!#REF!</definedName>
    <definedName name="celda31b">'EVALUACIÓN PRIVADA'!#REF!</definedName>
    <definedName name="celda31c">'EVALUACIÓN PRIVADA'!#REF!</definedName>
    <definedName name="celda32">'EVALUACIÓN PRIVADA'!#REF!</definedName>
    <definedName name="celda32a">'EVALUACIÓN PRIVADA'!#REF!</definedName>
    <definedName name="celda32b">'EVALUACIÓN PRIVADA'!#REF!</definedName>
    <definedName name="celda32c">'EVALUACIÓN PRIVADA'!#REF!</definedName>
    <definedName name="celda32d">'EVALUACIÓN PRIVADA'!#REF!</definedName>
    <definedName name="celda32e">'EVALUACIÓN PRIVADA'!#REF!</definedName>
    <definedName name="celda32f">'EVALUACIÓN PRIVADA'!#REF!</definedName>
    <definedName name="celda32g">'EVALUACIÓN PRIVADA'!#REF!</definedName>
    <definedName name="celda32h">'EVALUACIÓN PRIVADA'!#REF!</definedName>
    <definedName name="celda32i">'EVALUACIÓN PRIVADA'!#REF!</definedName>
    <definedName name="celda32j">'EVALUACIÓN PRIVADA'!#REF!</definedName>
    <definedName name="celda33">'EVALUACIÓN SOCIOECONÓMICA'!#REF!</definedName>
    <definedName name="celda33a">'EVALUACIÓN SOCIOECONÓMICA'!#REF!</definedName>
    <definedName name="celda33b">'EVALUACIÓN SOCIOECONÓMICA'!#REF!</definedName>
    <definedName name="celda33c">'EVALUACIÓN SOCIOECONÓMICA'!#REF!</definedName>
    <definedName name="celda34">'EVALUACIÓN SOCIOECONÓMICA'!#REF!</definedName>
    <definedName name="celda34a">'EVALUACIÓN SOCIOECONÓMICA'!#REF!</definedName>
    <definedName name="celda34b">'EVALUACIÓN SOCIOECONÓMICA'!#REF!</definedName>
    <definedName name="celda34c">'EVALUACIÓN SOCIOECONÓMICA'!#REF!</definedName>
    <definedName name="celda34d">'EVALUACIÓN SOCIOECONÓMICA'!#REF!</definedName>
    <definedName name="celda34e">'EVALUACIÓN SOCIOECONÓMICA'!#REF!</definedName>
    <definedName name="celda34f">'EVALUACIÓN SOCIOECONÓMICA'!#REF!</definedName>
    <definedName name="celda34g">'EVALUACIÓN SOCIOECONÓMICA'!#REF!</definedName>
    <definedName name="celda34h">'EVALUACIÓN SOCIOECONÓMICA'!#REF!</definedName>
    <definedName name="celda35">'FINANCIACIÓN'!#REF!</definedName>
    <definedName name="Celda36">'ALTERNATIVAS'!#REF!</definedName>
    <definedName name="celda37">'ALTERNATIVAS'!#REF!</definedName>
    <definedName name="celda38">'ALTERNATIVAS'!#REF!</definedName>
    <definedName name="celda3a">'EVALUACIÓN SOCIOECONÓMICA'!$F$23</definedName>
    <definedName name="celda3b">'EVALUACIÓN SOCIOECONÓMICA'!$G$24</definedName>
    <definedName name="celda3c">'EVALUACIÓN SOCIOECONÓMICA'!$G$28</definedName>
    <definedName name="celda4">'EVALUACIÓN SOCIOECONÓMICA'!$D$38</definedName>
    <definedName name="celda4a">'EVALUACIÓN SOCIOECONÓMICA'!$D$39</definedName>
    <definedName name="celda4b">'EVALUACIÓN SOCIOECONÓMICA'!$E$71</definedName>
    <definedName name="celda4c">'EVALUACIÓN SOCIOECONÓMICA'!$E$41</definedName>
    <definedName name="celda4d">'EVALUACIÓN SOCIOECONÓMICA'!$E$49</definedName>
    <definedName name="celda4e">'EVALUACIÓN SOCIOECONÓMICA'!$E$57</definedName>
    <definedName name="celda4f">'EVALUACIÓN SOCIOECONÓMICA'!$E$65</definedName>
    <definedName name="celda4g">'EVALUACIÓN SOCIOECONÓMICA'!$E$96</definedName>
    <definedName name="celda4h">'EVALUACIÓN SOCIOECONÓMICA'!$E$100</definedName>
    <definedName name="celda5">'ALTERNATIVAS'!#REF!</definedName>
    <definedName name="celda6">'EVALUACIÓN SOCIOECONÓMICA'!#REF!</definedName>
    <definedName name="celda6a">'EVALUACIÓN SOCIOECONÓMICA'!#REF!</definedName>
    <definedName name="celda7">'EVALUACIÓN SOCIOECONÓMICA'!#REF!</definedName>
    <definedName name="celda7a">'EVALUACIÓN SOCIOECONÓMICA'!#REF!</definedName>
    <definedName name="celda8">'EVALUACIÓN SOCIOECONÓMICA'!#REF!</definedName>
    <definedName name="celda8a">'EVALUACIÓN SOCIOECONÓMICA'!#REF!</definedName>
    <definedName name="celda9">'EVALUACIÓN SOCIOECONÓMICA'!#REF!</definedName>
    <definedName name="celda9a">'EVALUACIÓN SOCIOECONÓMICA'!#REF!</definedName>
    <definedName name="celdacontrol1">'EVALUACIÓN SOCIOECONÓMICA'!$D$71</definedName>
    <definedName name="celdacontrol2">'EVALUACIÓN SOCIOECONÓMICA'!#REF!</definedName>
    <definedName name="celdacontrol21">'EVALUACIÓN PRIVADA'!$D$116</definedName>
    <definedName name="celdacontrol3">'EVALUACIÓN SOCIOECONÓMICA'!#REF!</definedName>
    <definedName name="celdatotal">'EVALUACIÓN SOCIOECONÓMICA'!#REF!</definedName>
    <definedName name="celdatotal1">'EVALUACIÓN PRIVADA'!$E$135</definedName>
    <definedName name="celdatotal2">'EVALUACIÓN SOCIOECONÓMICA'!#REF!</definedName>
    <definedName name="celdatotal3">'EVALUACIÓN SOCIOECONÓMICA'!#REF!</definedName>
    <definedName name="celdatotal4">'EVALUACIÓN PRIVADA'!#REF!</definedName>
    <definedName name="celdatotal5">'EVALUACIÓN PRIVADA'!#REF!</definedName>
    <definedName name="celdatotal6">'EVALUACIÓN PRIVADA'!#REF!</definedName>
    <definedName name="celdax">'PREPARACION'!#REF!</definedName>
    <definedName name="celdaxa">'PREPARACION'!#REF!</definedName>
    <definedName name="Comentario">'PREPARACION'!$B$13</definedName>
    <definedName name="componentes">'ALTERNATIVAS'!#REF!</definedName>
    <definedName name="componentes2">'ALTERNATIVAS'!#REF!</definedName>
    <definedName name="componentes3">'ALTERNATIVAS'!#REF!</definedName>
    <definedName name="CompraInicial">'EVALUACIÓN PRIVADA'!$D$66</definedName>
    <definedName name="ConexionesNuevas">'EVALUACIÓN PRIVADA'!$E$31</definedName>
    <definedName name="CostoPorConexion">'EVALUACIÓN PRIVADA'!$F$16</definedName>
    <definedName name="CostosBajaTension">'EVALUACIÓN PRIVADA'!$E$95</definedName>
    <definedName name="CostosGeneracion">'EVALUACIÓN PRIVADA'!$E$79</definedName>
    <definedName name="CostosInversion">'EVALUACIÓN PRIVADA'!$E$96</definedName>
    <definedName name="CostosMediaTension">'EVALUACIÓN PRIVADA'!$E$87</definedName>
    <definedName name="CostosOperacion">'EVALUACIÓN PRIVADA'!$E$69</definedName>
    <definedName name="cppc">'EVALUACIÓN SOCIOECONÓMICA'!#REF!</definedName>
    <definedName name="cppc2">'EVALUACIÓN SOCIOECONÓMICA'!#REF!</definedName>
    <definedName name="cppc2p">'EVALUACIÓN PRIVADA'!$D$120</definedName>
    <definedName name="cppc3">'EVALUACIÓN SOCIOECONÓMICA'!#REF!</definedName>
    <definedName name="cppc3p">'EVALUACIÓN PRIVADA'!$D$148</definedName>
    <definedName name="cppcp">'EVALUACIÓN PRIVADA'!#REF!</definedName>
    <definedName name="demandacubierta1">'EVALUACIÓN SOCIOECONÓMICA'!$G$26</definedName>
    <definedName name="demandacubierta2">'EVALUACIÓN SOCIOECONÓMICA'!#REF!</definedName>
    <definedName name="demandacubierta3">'EVALUACIÓN SOCIOECONÓMICA'!#REF!</definedName>
    <definedName name="DemandaInicial">'EVALUACIÓN PRIVADA'!$E$26</definedName>
    <definedName name="DemandaInicial2">'EVALUACIÓN PRIVADA'!#REF!</definedName>
    <definedName name="DemandaInicial3">'EVALUACIÓN PRIVADA'!#REF!</definedName>
    <definedName name="DemandaS2">'EVALUACIÓN SOCIOECONÓMICA'!#REF!</definedName>
    <definedName name="DemandaS3">'EVALUACIÓN SOCIOECONÓMICA'!#REF!</definedName>
    <definedName name="DES">'EVALUACIÓN PRIVADA'!$E$27</definedName>
    <definedName name="DES2">'EVALUACIÓN PRIVADA'!#REF!</definedName>
    <definedName name="DES3">'EVALUACIÓN PRIVADA'!#REF!</definedName>
    <definedName name="DIFICULTAD">'PREPARACION'!$K$23</definedName>
    <definedName name="divisas">'EVALUACIÓN SOCIOECONÓMICA'!#REF!</definedName>
    <definedName name="divisas2">'EVALUACIÓN SOCIOECONÓMICA'!#REF!</definedName>
    <definedName name="divisas3">'EVALUACIÓN SOCIOECONÓMICA'!#REF!</definedName>
    <definedName name="eentre30_60">'PREPARACION'!$B$158</definedName>
    <definedName name="eentre60_120">'PREPARACION'!$B$159</definedName>
    <definedName name="emas120">'PREPARACION'!$B$160</definedName>
    <definedName name="emenos30">'PREPARACION'!$B$157</definedName>
    <definedName name="empezar">'ALTERNATIVAS'!#REF!</definedName>
    <definedName name="escenario1">'ANÁLISIS DE SENSIBILIDAD'!$A$6</definedName>
    <definedName name="escenario2">'ANÁLISIS DE SENSIBILIDAD'!$A$15</definedName>
    <definedName name="escenario3">'ANÁLISIS DE SENSIBILIDAD'!$A$25</definedName>
    <definedName name="EstimadoPrivado">'INDICADORES'!$C$11</definedName>
    <definedName name="EstimadoSocial">'INDICADORES'!$I$11</definedName>
    <definedName name="Fila1">'PREPARACION'!#REF!</definedName>
    <definedName name="Fila10">'EVALUACIÓN SOCIOECONÓMICA'!#REF!</definedName>
    <definedName name="Fila11">'EVALUACIÓN PRIVADA'!#REF!</definedName>
    <definedName name="Fila12">'EVALUACIÓN PRIVADA'!#REF!</definedName>
    <definedName name="Fila13">'EVALUACIÓN PRIVADA'!#REF!</definedName>
    <definedName name="Fila14">'EVALUACIÓN PRIVADA'!$B$120:$E$120</definedName>
    <definedName name="Fila15">'EVALUACIÓN PRIVADA'!#REF!</definedName>
    <definedName name="Fila16">'EVALUACIÓN PRIVADA'!$B$148:$E$148</definedName>
    <definedName name="Fila17">'FINANCIACIÓN'!#REF!</definedName>
    <definedName name="Fila18">'ALTERNATIVAS'!#REF!</definedName>
    <definedName name="Fila19">'ALTERNATIVAS'!#REF!</definedName>
    <definedName name="Fila2">'ALTERNATIVAS'!#REF!</definedName>
    <definedName name="Fila20">'ALTERNATIVAS'!#REF!</definedName>
    <definedName name="Fila3">'ALTERNATIVAS'!#REF!</definedName>
    <definedName name="Fila300">'EVALUACIÓN PRIVADA'!$214:$214</definedName>
    <definedName name="Fila4">'ALTERNATIVAS'!#REF!</definedName>
    <definedName name="Fila5">'EVALUACIÓN SOCIOECONÓMICA'!#REF!</definedName>
    <definedName name="Fila6">'EVALUACIÓN SOCIOECONÓMICA'!#REF!</definedName>
    <definedName name="Fila7">'EVALUACIÓN SOCIOECONÓMICA'!#REF!</definedName>
    <definedName name="Fila8">'EVALUACIÓN SOCIOECONÓMICA'!#REF!</definedName>
    <definedName name="Fila9">'EVALUACIÓN SOCIOECONÓMICA'!#REF!</definedName>
    <definedName name="fin">'EVALUACIÓN PRIVADA'!$E$135</definedName>
    <definedName name="flujo">'EVALUACIÓN PRIVADA'!$A$112</definedName>
    <definedName name="Formula1">'ALTERNATIVAS'!#REF!</definedName>
    <definedName name="ientre30_60">'PREPARACION'!$H$158</definedName>
    <definedName name="ientre60_120">'PREPARACION'!$H$159</definedName>
    <definedName name="imas120">'PREPARACION'!$H$160</definedName>
    <definedName name="imenos30">'PREPARACION'!$H$157</definedName>
    <definedName name="Impacto">'PREPARACION'!$K$70</definedName>
    <definedName name="impactoambiental">'PREPARACION'!#REF!</definedName>
    <definedName name="Ind11">'ANÁLISIS DE SENSIBILIDAD'!$I$9</definedName>
    <definedName name="Ind110">'ANÁLISIS DE SENSIBILIDAD'!$I$19</definedName>
    <definedName name="Ind12">'ANÁLISIS DE SENSIBILIDAD'!$I$10</definedName>
    <definedName name="Ind13">'ANÁLISIS DE SENSIBILIDAD'!$I$11</definedName>
    <definedName name="Ind14">'ANÁLISIS DE SENSIBILIDAD'!$I$12</definedName>
    <definedName name="Ind14Error">'ANÁLISIS DE SENSIBILIDAD'!$B$1</definedName>
    <definedName name="Ind15">'ANÁLISIS DE SENSIBILIDAD'!$I$13</definedName>
    <definedName name="Ind16">'ANÁLISIS DE SENSIBILIDAD'!$I$15</definedName>
    <definedName name="Ind17">'ANÁLISIS DE SENSIBILIDAD'!$I$16</definedName>
    <definedName name="Ind18">'ANÁLISIS DE SENSIBILIDAD'!$I$17</definedName>
    <definedName name="Ind19">'ANÁLISIS DE SENSIBILIDAD'!$I$18</definedName>
    <definedName name="Ind19Error">'ANÁLISIS DE SENSIBILIDAD'!$B$2</definedName>
    <definedName name="IndCE11">'ANÁLISIS DE SENSIBILIDAD'!$I$24</definedName>
    <definedName name="IndCE110">'ANÁLISIS DE SENSIBILIDAD'!$I$29</definedName>
    <definedName name="IndCE111">'ANÁLISIS DE SENSIBILIDAD'!$I$22</definedName>
    <definedName name="IndCE12">'ANÁLISIS DE SENSIBILIDAD'!$I$23</definedName>
    <definedName name="IndCE13">'ANÁLISIS DE SENSIBILIDAD'!$I$31</definedName>
    <definedName name="IndCE14">'ANÁLISIS DE SENSIBILIDAD'!$I$26</definedName>
    <definedName name="IndCE15">'ANÁLISIS DE SENSIBILIDAD'!$I$25</definedName>
    <definedName name="IndCE16">'ANÁLISIS DE SENSIBILIDAD'!$I$32</definedName>
    <definedName name="IndCE17">'ANÁLISIS DE SENSIBILIDAD'!$I$28</definedName>
    <definedName name="IndCE18">'ANÁLISIS DE SENSIBILIDAD'!$I$30</definedName>
    <definedName name="IndCE19">'ANÁLISIS DE SENSIBILIDAD'!$I$21</definedName>
    <definedName name="indicador">'PREPARACION'!#REF!</definedName>
    <definedName name="inicial">'PREPARACION'!$D$70</definedName>
    <definedName name="interes">'EVALUACIÓN PRIVADA'!$F$11</definedName>
    <definedName name="interes2">'EVALUACIÓN PRIVADA'!#REF!</definedName>
    <definedName name="interes3">'EVALUACIÓN PRIVADA'!#REF!</definedName>
    <definedName name="interessocial">'EVALUACIÓN SOCIOECONÓMICA'!$F$11</definedName>
    <definedName name="KmdeRed">'EVALUACIÓN PRIVADA'!$F$13</definedName>
    <definedName name="KMdeRed2">'EVALUACIÓN PRIVADA'!#REF!</definedName>
    <definedName name="KMdeRed3">'EVALUACIÓN PRIVADA'!#REF!</definedName>
    <definedName name="KmDeRedBaja">'EVALUACIÓN PRIVADA'!$F$14</definedName>
    <definedName name="LiberacionInicial">'EVALUACIÓN SOCIOECONÓMICA'!$F$31</definedName>
    <definedName name="manodeobra">'EVALUACIÓN SOCIOECONÓMICA'!#REF!</definedName>
    <definedName name="manodeobra2">'EVALUACIÓN SOCIOECONÓMICA'!#REF!</definedName>
    <definedName name="manodeobra3">'EVALUACIÓN SOCIOECONÓMICA'!#REF!</definedName>
    <definedName name="montoinversion1">'EVALUACIÓN SOCIOECONÓMICA'!$E$94</definedName>
    <definedName name="montoinversion2">'EVALUACIÓN SOCIOECONÓMICA'!#REF!</definedName>
    <definedName name="montoinversion3">'EVALUACIÓN SOCIOECONÓMICA'!#REF!</definedName>
    <definedName name="NOMBRE">'PREPARACION'!$A$6</definedName>
    <definedName name="numero">'PREPARACION'!$G$4</definedName>
    <definedName name="NumeroDeConexiones">'EVALUACIÓN PRIVADA'!#REF!</definedName>
    <definedName name="otros">'EVALUACIÓN SOCIOECONÓMICA'!#REF!</definedName>
    <definedName name="otros2">'EVALUACIÓN SOCIOECONÓMICA'!#REF!</definedName>
    <definedName name="otros3">'EVALUACIÓN SOCIOECONÓMICA'!#REF!</definedName>
    <definedName name="OtrosIndicadores">'INDICADORES'!$A$59</definedName>
    <definedName name="Po">'EVALUACIÓN PRIVADA'!$D$7</definedName>
    <definedName name="PorcentajeDePerdidas">'EVALUACIÓN PRIVADA'!$F$18</definedName>
    <definedName name="Potencia">'EVALUACIÓN PRIVADA'!$F$12</definedName>
    <definedName name="Potencia2">'EVALUACIÓN PRIVADA'!#REF!</definedName>
    <definedName name="Potencia3">'EVALUACIÓN PRIVADA'!#REF!</definedName>
    <definedName name="preparacion">'PREPARACION'!$A$4</definedName>
    <definedName name="PREPARACIÓN">'PREPARACION'!$A$1</definedName>
    <definedName name="privada">'EVALUACIÓN PRIVADA'!$A$4</definedName>
    <definedName name="Privada1">'EVALUACIÓN PRIVADA'!$A$11</definedName>
    <definedName name="privada2">'EVALUACIÓN PRIVADA'!#REF!</definedName>
    <definedName name="privada3">'EVALUACIÓN PRIVADA'!#REF!</definedName>
    <definedName name="Qo">'EVALUACIÓN PRIVADA'!$C$7</definedName>
    <definedName name="Rango1">'EVALUACIÓN PRIVADA'!$B$97</definedName>
    <definedName name="Rango2">'EVALUACIÓN PRIVADA'!$C$97</definedName>
    <definedName name="Rango3">'EVALUACIÓN PRIVADA'!$D$98</definedName>
    <definedName name="rpcdivisa">'EVALUACIÓN SOCIOECONÓMICA'!$F$6</definedName>
    <definedName name="RPCDivisa2">'EVALUACIÓN SOCIOECONÓMICA'!#REF!</definedName>
    <definedName name="RPCDivisa3">'EVALUACIÓN SOCIOECONÓMICA'!#REF!</definedName>
    <definedName name="rpcmanodeobra">'EVALUACIÓN SOCIOECONÓMICA'!#REF!</definedName>
    <definedName name="RPCManodeobra2">'EVALUACIÓN SOCIOECONÓMICA'!#REF!</definedName>
    <definedName name="RPCManodeobra3">'EVALUACIÓN SOCIOECONÓMICA'!#REF!</definedName>
    <definedName name="rpcmoc">'EVALUACIÓN SOCIOECONÓMICA'!$F$7</definedName>
    <definedName name="rpcmoncr">'EVALUACIÓN SOCIOECONÓMICA'!$F$10</definedName>
    <definedName name="rpcmoncu">'EVALUACIÓN SOCIOECONÓMICA'!$F$9</definedName>
    <definedName name="rpcmosc">'EVALUACIÓN SOCIOECONÓMICA'!$F$8</definedName>
    <definedName name="sel1">'EVALUACIÓN PRIVADA'!$E$24:$E$33</definedName>
    <definedName name="sel10">'EVALUACIÓN SOCIOECONÓMICA'!#REF!</definedName>
    <definedName name="sel11">'EVALUACIÓN SOCIOECONÓMICA'!#REF!</definedName>
    <definedName name="sel12">'EVALUACIÓN PRIVADA'!#REF!</definedName>
    <definedName name="sel13">'EVALUACIÓN PRIVADA'!#REF!</definedName>
    <definedName name="sel14">'EVALUACIÓN PRIVADA'!#REF!</definedName>
    <definedName name="sel15">'EVALUACIÓN PRIVADA'!$D$119:$D$123</definedName>
    <definedName name="sel16">'PREPARACION'!$E$97:$E$103</definedName>
    <definedName name="sel17">'PREPARACION'!$E$117:$E$123</definedName>
    <definedName name="sel18">'PREPARACION'!$E$107:$E$113</definedName>
    <definedName name="sel2">'EVALUACIÓN PRIVADA'!$D$39:$D$103</definedName>
    <definedName name="sel21">'EVALUACIÓN PRIVADA'!$D$114:$D$135</definedName>
    <definedName name="sel21a">'EVALUACIÓN PRIVADA'!$D$116:$D$135</definedName>
    <definedName name="sel22">'EVALUACIÓN PRIVADA'!#REF!</definedName>
    <definedName name="sel23">'EVALUACIÓN SOCIOECONÓMICA'!#REF!</definedName>
    <definedName name="sel24">'EVALUACIÓN SOCIOECONÓMICA'!#REF!</definedName>
    <definedName name="sel24a">'EVALUACIÓN SOCIOECONÓMICA'!#REF!</definedName>
    <definedName name="sel3">'EVALUACIÓN SOCIOECONÓMICA'!$F$22:$F$32</definedName>
    <definedName name="sel31">'EVALUACIÓN PRIVADA'!#REF!</definedName>
    <definedName name="sel32">'EVALUACIÓN PRIVADA'!#REF!</definedName>
    <definedName name="sel33">'EVALUACIÓN SOCIOECONÓMICA'!#REF!</definedName>
    <definedName name="sel34">'EVALUACIÓN SOCIOECONÓMICA'!#REF!</definedName>
    <definedName name="sel34a">'EVALUACIÓN SOCIOECONÓMICA'!#REF!</definedName>
    <definedName name="sel3a">'EVALUACIÓN SOCIOECONÓMICA'!$F$24:$F$32</definedName>
    <definedName name="sel4">'EVALUACIÓN SOCIOECONÓMICA'!$D$38:$D$102</definedName>
    <definedName name="sel4a">'EVALUACIÓN SOCIOECONÓMICA'!$D$41:$D$102</definedName>
    <definedName name="sel5">'ALTERNATIVAS'!#REF!</definedName>
    <definedName name="sel6">'EVALUACIÓN SOCIOECONÓMICA'!#REF!</definedName>
    <definedName name="sel7">'EVALUACIÓN SOCIOECONÓMICA'!#REF!</definedName>
    <definedName name="sel8">'EVALUACIÓN SOCIOECONÓMICA'!#REF!</definedName>
    <definedName name="sel9">'EVALUACIÓN SOCIOECONÓMICA'!#REF!</definedName>
    <definedName name="Selec1">'EVALUACIÓN PRIVADA'!$23:$107</definedName>
    <definedName name="Selec1a">'EVALUACIÓN PRIVADA'!$38:$105</definedName>
    <definedName name="Selec2">'EVALUACIÓN PRIVADA'!#REF!</definedName>
    <definedName name="Selec3">'EVALUACIÓN PRIVADA'!#REF!</definedName>
    <definedName name="selección2">'ALTERNATIVAS'!#REF!</definedName>
    <definedName name="selección3">'ALTERNATIVAS'!#REF!</definedName>
    <definedName name="selImpuestos">'EVALUACIÓN PRIVADA'!#REF!</definedName>
    <definedName name="selImpuestos2">'EVALUACIÓN PRIVADA'!#REF!</definedName>
    <definedName name="selImpuestos3">'EVALUACIÓN PRIVADA'!#REF!</definedName>
    <definedName name="selx">'PREPARACION'!#REF!</definedName>
    <definedName name="sens11">'ANÁLISIS DE SENSIBILIDAD'!$I$26</definedName>
    <definedName name="sens21">'ANÁLISIS DE SENSIBILIDAD'!$I$25</definedName>
    <definedName name="sens31">'ANÁLISIS DE SENSIBILIDAD'!$I$32</definedName>
    <definedName name="sens41">'ANÁLISIS DE SENSIBILIDAD'!#REF!</definedName>
    <definedName name="socioeconomica">'EVALUACIÓN SOCIOECONÓMICA'!$A$4</definedName>
    <definedName name="Socioeconómica1">'EVALUACIÓN SOCIOECONÓMICA'!#REF!</definedName>
    <definedName name="socioeconómica2">'EVALUACIÓN SOCIOECONÓMICA'!#REF!</definedName>
    <definedName name="Socioeconomica3">'EVALUACIÓN SOCIOECONÓMICA'!#REF!</definedName>
    <definedName name="socioeconómica3">'EVALUACIÓN SOCIOECONÓMICA'!#REF!</definedName>
    <definedName name="SustitutaInicial">'EVALUACIÓN PRIVADA'!$E$27</definedName>
    <definedName name="Tarifa">'EVALUACIÓN PRIVADA'!#REF!</definedName>
    <definedName name="Tarifa1">'EVALUACIÓN PRIVADA'!$F$21</definedName>
    <definedName name="Tarifa2">'EVALUACIÓN PRIVADA'!#REF!</definedName>
    <definedName name="Tarifa3">'EVALUACIÓN PRIVADA'!#REF!</definedName>
    <definedName name="TarifaDeCompra">'EVALUACIÓN PRIVADA'!$F$17</definedName>
    <definedName name="TarifaProporcionada">'EVALUACIÓN PRIVADA'!$F$20</definedName>
    <definedName name="TarifaS1">'EVALUACIÓN SOCIOECONÓMICA'!$F$17</definedName>
    <definedName name="TarifaS2">'EVALUACIÓN SOCIOECONÓMICA'!#REF!</definedName>
    <definedName name="TarifaS3">'EVALUACIÓN SOCIOECONÓMICA'!#REF!</definedName>
    <definedName name="TasaElectrica">'EVALUACIÓN PRIVADA'!$I$7</definedName>
    <definedName name="TasaElectrica2">'EVALUACIÓN PRIVADA'!#REF!</definedName>
    <definedName name="TasaElectrica3">'EVALUACIÓN PRIVADA'!$J$7</definedName>
    <definedName name="TasaElectrica4">'EVALUACIÓN PRIVADA'!$K$7</definedName>
    <definedName name="TasaSustituta">'EVALUACIÓN PRIVADA'!$I$5</definedName>
    <definedName name="TemporalE25">'EVALUACIÓN PRIVADA'!#REF!</definedName>
    <definedName name="TipodeCambio">'EVALUACIÓN PRIVADA'!$F$36</definedName>
    <definedName name="tirp">'EVALUACIÓN PRIVADA'!$D$108</definedName>
    <definedName name="tirs">'EVALUACIÓN SOCIOECONÓMICA'!$D$107</definedName>
    <definedName name="tot1">'EVALUACIÓN PRIVADA'!$E$98</definedName>
    <definedName name="tot2">'EVALUACIÓN PRIVADA'!#REF!</definedName>
    <definedName name="tot3">'EVALUACIÓN PRIVADA'!#REF!</definedName>
    <definedName name="Total1">'EVALUACIÓN PRIVADA'!$D$104:$E$104</definedName>
    <definedName name="Total1a">'EVALUACIÓN SOCIOECONÓMICA'!#REF!</definedName>
    <definedName name="Total1ap">'EVALUACIÓN PRIVADA'!#REF!</definedName>
    <definedName name="Total2">'EVALUACIÓN SOCIOECONÓMICA'!#REF!</definedName>
    <definedName name="Total2a">'EVALUACIÓN SOCIOECONÓMICA'!#REF!</definedName>
    <definedName name="Total2ap">'EVALUACIÓN PRIVADA'!$D$123</definedName>
    <definedName name="Total3">'EVALUACIÓN SOCIOECONÓMICA'!#REF!</definedName>
    <definedName name="Total3a">'EVALUACIÓN SOCIOECONÓMICA'!#REF!</definedName>
    <definedName name="Total3ap">'EVALUACIÓN PRIVADA'!$D$149</definedName>
    <definedName name="usuarios">'EVALUACIÓN PRIVADA'!$F$15</definedName>
    <definedName name="usuarios2">'EVALUACIÓN PRIVADA'!#REF!</definedName>
    <definedName name="usuarios3">'EVALUACIÓN PRIVADA'!#REF!</definedName>
    <definedName name="usuariosS1">'EVALUACIÓN SOCIOECONÓMICA'!$F$18</definedName>
    <definedName name="usuariosS2">'EVALUACIÓN SOCIOECONÓMICA'!#REF!</definedName>
    <definedName name="usuariosS3">'EVALUACIÓN SOCIOECONÓMICA'!#REF!</definedName>
    <definedName name="vadp1">'EVALUACIÓN PRIVADA'!$E$105</definedName>
    <definedName name="vadp2">'EVALUACIÓN PRIVADA'!#REF!</definedName>
    <definedName name="vadp3">'EVALUACIÓN PRIVADA'!#REF!</definedName>
    <definedName name="vads1">'EVALUACIÓN SOCIOECONÓMICA'!$F$104</definedName>
    <definedName name="vads2">'EVALUACIÓN SOCIOECONÓMICA'!#REF!</definedName>
    <definedName name="vads3">'EVALUACIÓN SOCIOECONÓMICA'!#REF!</definedName>
    <definedName name="vaip">'EVALUACIÓN PRIVADA'!$D$109</definedName>
    <definedName name="vais">'EVALUACIÓN SOCIOECONÓMICA'!$D$108</definedName>
    <definedName name="vanp">'ANÁLISIS DE SENSIBILIDAD'!#REF!</definedName>
    <definedName name="vanp1">'EVALUACIÓN PRIVADA'!$D$106</definedName>
    <definedName name="vanp2">'EVALUACIÓN PRIVADA'!#REF!</definedName>
    <definedName name="vanp3">'EVALUACIÓN PRIVADA'!#REF!</definedName>
    <definedName name="vans1">'EVALUACIÓN SOCIOECONÓMICA'!$D$105</definedName>
    <definedName name="vans2">'EVALUACIÓN SOCIOECONÓMICA'!#REF!</definedName>
    <definedName name="vans3">'EVALUACIÓN SOCIOECONÓMICA'!#REF!</definedName>
    <definedName name="variaciondemanda1">'ANÁLISIS DE SENSIBILIDAD'!$E$10</definedName>
    <definedName name="variacioninteres1">'ANÁLISIS DE SENSIBILIDAD'!#REF!</definedName>
    <definedName name="variacionmonto1">'ANÁLISIS DE SENSIBILIDAD'!$E$9</definedName>
    <definedName name="variacionpotencia1">'ANÁLISIS DE SENSIBILIDAD'!$E$12</definedName>
    <definedName name="variaciontarifa">'ANÁLISIS DE SENSIBILIDAD'!$E$13</definedName>
    <definedName name="variacionusuarios1">'ANÁLISIS DE SENSIBILIDAD'!$E$11</definedName>
    <definedName name="Vida1">'EVALUACIÓN SOCIOECONÓMICA'!$F$17</definedName>
    <definedName name="Vida2">'EVALUACIÓN SOCIOECONÓMICA'!#REF!</definedName>
    <definedName name="Vida3">'EVALUACIÓN SOCIOECONÓMICA'!#REF!</definedName>
    <definedName name="vpcp">'EVALUACIÓN PRIVADA'!$D$105</definedName>
    <definedName name="vpcp1">'EVALUACIÓN PRIVADA'!$D$268</definedName>
    <definedName name="vpcp2">'EVALUACIÓN PRIVADA'!#REF!</definedName>
    <definedName name="vpcp3">'EVALUACIÓN PRIVADA'!#REF!</definedName>
    <definedName name="vpcs">'EVALUACIÓN SOCIOECONÓMICA'!$D$104</definedName>
    <definedName name="vpcs2">'EVALUACIÓN SOCIOECONÓMICA'!#REF!</definedName>
    <definedName name="vpcs3">'EVALUACIÓN SOCIOECONÓMICA'!#REF!</definedName>
  </definedNames>
  <calcPr fullCalcOnLoad="1"/>
</workbook>
</file>

<file path=xl/comments2.xml><?xml version="1.0" encoding="utf-8"?>
<comments xmlns="http://schemas.openxmlformats.org/spreadsheetml/2006/main">
  <authors>
    <author>Alberto RAHAL</author>
    <author>Alfa-Beta Inform?tica</author>
  </authors>
  <commentList>
    <comment ref="B6" authorId="0">
      <text>
        <r>
          <rPr>
            <sz val="8"/>
            <rFont val="Tahoma"/>
            <family val="2"/>
          </rPr>
          <t>Escriba en este campo el Nombre de su proyecto el cual debe hacer referencia a:
-Area o recurso objeto del proyecto
-Objetivo principal
-Proceso utilizado para alcanzar el objetivo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0"/>
          </rPr>
          <t>Describa brevente el problema que se trata de solucionar.</t>
        </r>
      </text>
    </comment>
    <comment ref="D38" authorId="0">
      <text>
        <r>
          <rPr>
            <sz val="8"/>
            <rFont val="Tahoma"/>
            <family val="2"/>
          </rPr>
          <t>Explicar de manera breve los requerimientos de la población y las posibilidades de oferta energética</t>
        </r>
        <r>
          <rPr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sz val="8"/>
            <rFont val="Tahoma"/>
            <family val="2"/>
          </rPr>
          <t>Identificar la localizacion del proyecto y las caracteristicas de tamaño del mismo</t>
        </r>
      </text>
    </comment>
    <comment ref="F60" authorId="0">
      <text>
        <r>
          <rPr>
            <sz val="8"/>
            <rFont val="Tahoma"/>
            <family val="2"/>
          </rPr>
          <t xml:space="preserve">Estrcutura organizacional y de control social para las diferentes fases del proyecto
</t>
        </r>
      </text>
    </comment>
    <comment ref="F12" authorId="1">
      <text>
        <r>
          <rPr>
            <sz val="9"/>
            <rFont val="Tahoma"/>
            <family val="2"/>
          </rPr>
          <t>Escriba aquí el número de años durante los cuales el proyecto no recibirá ingresos</t>
        </r>
      </text>
    </comment>
    <comment ref="F11" authorId="1">
      <text>
        <r>
          <rPr>
            <sz val="9"/>
            <rFont val="Tahoma"/>
            <family val="2"/>
          </rPr>
          <t>Escriba el Número de Años que va a operar su proyecto. No incluya los años de la Inversión</t>
        </r>
      </text>
    </comment>
  </commentList>
</comments>
</file>

<file path=xl/comments4.xml><?xml version="1.0" encoding="utf-8"?>
<comments xmlns="http://schemas.openxmlformats.org/spreadsheetml/2006/main">
  <authors>
    <author>Alberto RAHAL</author>
    <author>SCRE</author>
  </authors>
  <commentList>
    <comment ref="B13" authorId="0">
      <text>
        <r>
          <rPr>
            <sz val="8"/>
            <rFont val="Tahoma"/>
            <family val="2"/>
          </rPr>
          <t>Únicamente para Proyectos de Extensión de Redes</t>
        </r>
      </text>
    </comment>
    <comment ref="E25" authorId="0">
      <text>
        <r>
          <rPr>
            <sz val="8"/>
            <rFont val="Tahoma"/>
            <family val="2"/>
          </rPr>
          <t>Escriba en esta casilla el año en el cual debe comenzar el proyecto</t>
        </r>
      </text>
    </comment>
    <comment ref="B26" authorId="0">
      <text>
        <r>
          <rPr>
            <sz val="8"/>
            <rFont val="Tahoma"/>
            <family val="2"/>
          </rPr>
          <t>ATENCION
Los valores deben ir en Kilovatios/Hora/Año</t>
        </r>
      </text>
    </comment>
    <comment ref="B73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42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50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58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66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27" authorId="0">
      <text>
        <r>
          <rPr>
            <sz val="8"/>
            <rFont val="Tahoma"/>
            <family val="2"/>
          </rPr>
          <t>ATENCION
Los valores deben ir en Kilovatios/Hora/Año</t>
        </r>
      </text>
    </comment>
    <comment ref="B134" authorId="1">
      <text>
        <r>
          <rPr>
            <sz val="9"/>
            <rFont val="Tahoma"/>
            <family val="2"/>
          </rPr>
          <t>Valor que conservan los Activos Fijos</t>
        </r>
      </text>
    </comment>
    <comment ref="C123" authorId="1">
      <text>
        <r>
          <rPr>
            <sz val="9"/>
            <rFont val="Tahoma"/>
            <family val="2"/>
          </rPr>
          <t>Tasa Impositiva a las utilidades - IUE</t>
        </r>
      </text>
    </comment>
    <comment ref="B19" authorId="0">
      <text>
        <r>
          <rPr>
            <sz val="8"/>
            <rFont val="Tahoma"/>
            <family val="2"/>
          </rPr>
          <t>Tarifa calculada a partir del Valor Actual de los Costos y la cantidad de Energía generada.</t>
        </r>
      </text>
    </comment>
    <comment ref="B20" authorId="0">
      <text>
        <r>
          <rPr>
            <sz val="8"/>
            <rFont val="Tahoma"/>
            <family val="2"/>
          </rPr>
          <t>Tarifa proporcionada por el usuario. Al hacer la evaluación del Proyecto, debe escogerse entre ésta y la anterior</t>
        </r>
        <r>
          <rPr>
            <sz val="8"/>
            <rFont val="Tahoma"/>
            <family val="0"/>
          </rPr>
          <t xml:space="preserve">
</t>
        </r>
      </text>
    </comment>
    <comment ref="B81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89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14" authorId="0">
      <text>
        <r>
          <rPr>
            <sz val="8"/>
            <rFont val="Tahoma"/>
            <family val="2"/>
          </rPr>
          <t>Únicamente para Proyectos de Extensión de Redes</t>
        </r>
      </text>
    </comment>
  </commentList>
</comments>
</file>

<file path=xl/comments5.xml><?xml version="1.0" encoding="utf-8"?>
<comments xmlns="http://schemas.openxmlformats.org/spreadsheetml/2006/main">
  <authors>
    <author>Alberto RAHAL</author>
    <author>SCRE</author>
  </authors>
  <commentList>
    <comment ref="F23" authorId="0">
      <text>
        <r>
          <rPr>
            <sz val="8"/>
            <rFont val="Tahoma"/>
            <family val="2"/>
          </rPr>
          <t>Escriba en esta casilla el año en el cual debe comenzar el proyecto</t>
        </r>
      </text>
    </comment>
    <comment ref="B71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41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49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57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65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28" authorId="1">
      <text>
        <r>
          <rPr>
            <b/>
            <sz val="9"/>
            <rFont val="Tahoma"/>
            <family val="0"/>
          </rPr>
          <t>Costo de Racionamiento por la Demanda Cubierta por el Proyecto</t>
        </r>
        <r>
          <rPr>
            <sz val="9"/>
            <rFont val="Tahoma"/>
            <family val="0"/>
          </rPr>
          <t xml:space="preserve">
</t>
        </r>
      </text>
    </comment>
    <comment ref="B29" authorId="1">
      <text>
        <r>
          <rPr>
            <b/>
            <sz val="9"/>
            <rFont val="Tahoma"/>
            <family val="0"/>
          </rPr>
          <t xml:space="preserve">Energía Ahorrada en Reducción de Pérdidas por Número de Usuarios </t>
        </r>
        <r>
          <rPr>
            <sz val="9"/>
            <rFont val="Tahoma"/>
            <family val="0"/>
          </rPr>
          <t xml:space="preserve">
</t>
        </r>
      </text>
    </comment>
    <comment ref="B30" authorId="1">
      <text>
        <r>
          <rPr>
            <b/>
            <sz val="9"/>
            <rFont val="Tahoma"/>
            <family val="0"/>
          </rPr>
          <t>Demanda No Racionada por Costo de Racionamiento por Número de Usuarios</t>
        </r>
        <r>
          <rPr>
            <sz val="9"/>
            <rFont val="Tahoma"/>
            <family val="0"/>
          </rPr>
          <t xml:space="preserve">
</t>
        </r>
      </text>
    </comment>
    <comment ref="B79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  <comment ref="B87" authorId="1">
      <text>
        <r>
          <rPr>
            <sz val="9"/>
            <rFont val="Tahoma"/>
            <family val="2"/>
          </rPr>
          <t>Son Bienes Transables aquellos materiales, equipos e insumos que se exportan o importan</t>
        </r>
      </text>
    </comment>
  </commentList>
</comments>
</file>

<file path=xl/comments6.xml><?xml version="1.0" encoding="utf-8"?>
<comments xmlns="http://schemas.openxmlformats.org/spreadsheetml/2006/main">
  <authors>
    <author>WINDOWS XP</author>
    <author>Alberto RAHAL</author>
    <author>Jaime R. Paredes V.</author>
  </authors>
  <commentList>
    <comment ref="E49" authorId="0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  <comment ref="B52" authorId="1">
      <text>
        <r>
          <rPr>
            <sz val="8"/>
            <rFont val="Tahoma"/>
            <family val="2"/>
          </rPr>
          <t>Este Indicador se utiliza solamente para Proyectos de Extensión de Redes</t>
        </r>
        <r>
          <rPr>
            <sz val="8"/>
            <rFont val="Tahoma"/>
            <family val="0"/>
          </rPr>
          <t xml:space="preserve">
</t>
        </r>
      </text>
    </comment>
    <comment ref="B54" authorId="1">
      <text>
        <r>
          <rPr>
            <sz val="8"/>
            <rFont val="Tahoma"/>
            <family val="2"/>
          </rPr>
          <t>Este Indicador se utiliza solamente para Proyectos de Extensión de Redes</t>
        </r>
        <r>
          <rPr>
            <sz val="8"/>
            <rFont val="Tahoma"/>
            <family val="0"/>
          </rPr>
          <t xml:space="preserve">
</t>
        </r>
      </text>
    </comment>
    <comment ref="B19" authorId="1">
      <text>
        <r>
          <rPr>
            <sz val="8"/>
            <rFont val="Tahoma"/>
            <family val="2"/>
          </rPr>
          <t>Este Indicador se utiliza solamente para Proyectos de Generación con Centrales Hidroeléctricas</t>
        </r>
        <r>
          <rPr>
            <sz val="8"/>
            <rFont val="Tahoma"/>
            <family val="0"/>
          </rPr>
          <t xml:space="preserve">
</t>
        </r>
      </text>
    </comment>
    <comment ref="B20" authorId="1">
      <text>
        <r>
          <rPr>
            <sz val="8"/>
            <rFont val="Tahoma"/>
            <family val="2"/>
          </rPr>
          <t>Este Indicador se utiliza solamente para Proyectos de Generación con Centrales Hidroeléctricas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  <comment ref="E27" authorId="0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  <comment ref="B30" authorId="1">
      <text>
        <r>
          <rPr>
            <sz val="8"/>
            <rFont val="Tahoma"/>
            <family val="2"/>
          </rPr>
          <t>Este Indicador se utiliza solamente para Proyectos de Generación con Centrales Termoeléctricas</t>
        </r>
        <r>
          <rPr>
            <sz val="8"/>
            <rFont val="Tahoma"/>
            <family val="0"/>
          </rPr>
          <t xml:space="preserve">
</t>
        </r>
      </text>
    </comment>
    <comment ref="B31" authorId="1">
      <text>
        <r>
          <rPr>
            <sz val="8"/>
            <rFont val="Tahoma"/>
            <family val="2"/>
          </rPr>
          <t>Este Indicador se utiliza solamente para Proyectos de Generación con Centrales Termoeléctricas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  <comment ref="B41" authorId="1">
      <text>
        <r>
          <rPr>
            <sz val="8"/>
            <rFont val="Tahoma"/>
            <family val="2"/>
          </rPr>
          <t>Este Indicador se utiliza solamente para Proyectos de Generación de Energías Alternativas</t>
        </r>
        <r>
          <rPr>
            <sz val="8"/>
            <rFont val="Tahoma"/>
            <family val="0"/>
          </rPr>
          <t xml:space="preserve">
</t>
        </r>
      </text>
    </comment>
    <comment ref="B42" authorId="1">
      <text>
        <r>
          <rPr>
            <sz val="8"/>
            <rFont val="Tahoma"/>
            <family val="2"/>
          </rPr>
          <t>Este Indicador se utiliza solamente para Proyectos de Generación de Energías Alternativas</t>
        </r>
        <r>
          <rPr>
            <sz val="8"/>
            <rFont val="Tahoma"/>
            <family val="0"/>
          </rPr>
          <t xml:space="preserve">
</t>
        </r>
      </text>
    </comment>
    <comment ref="B55" authorId="1">
      <text>
        <r>
          <rPr>
            <sz val="8"/>
            <rFont val="Tahoma"/>
            <family val="2"/>
          </rPr>
          <t>Este Indicador se utiliza solamente para Proyectos de Extensión de Redes</t>
        </r>
        <r>
          <rPr>
            <sz val="8"/>
            <rFont val="Tahoma"/>
            <family val="0"/>
          </rPr>
          <t xml:space="preserve">
</t>
        </r>
      </text>
    </comment>
    <comment ref="B56" authorId="1">
      <text>
        <r>
          <rPr>
            <sz val="8"/>
            <rFont val="Tahoma"/>
            <family val="2"/>
          </rPr>
          <t>Este Indicador se utiliza solamente para Proyectos de Extensión de Redes</t>
        </r>
        <r>
          <rPr>
            <sz val="8"/>
            <rFont val="Tahoma"/>
            <family val="0"/>
          </rPr>
          <t xml:space="preserve">
</t>
        </r>
      </text>
    </comment>
    <comment ref="B53" authorId="1">
      <text>
        <r>
          <rPr>
            <sz val="8"/>
            <rFont val="Tahoma"/>
            <family val="2"/>
          </rPr>
          <t>Este Indicador se utiliza solamente para Proyectos de Extensión de Redes</t>
        </r>
        <r>
          <rPr>
            <sz val="8"/>
            <rFont val="Tahoma"/>
            <family val="0"/>
          </rPr>
          <t xml:space="preserve">
</t>
        </r>
      </text>
    </comment>
    <comment ref="C11" authorId="2">
      <text>
        <r>
          <rPr>
            <sz val="8"/>
            <rFont val="Tahoma"/>
            <family val="2"/>
          </rPr>
          <t>Valor estimado</t>
        </r>
      </text>
    </comment>
    <comment ref="I11" authorId="2">
      <text>
        <r>
          <rPr>
            <sz val="8"/>
            <rFont val="Tahoma"/>
            <family val="2"/>
          </rPr>
          <t>Valor estimado</t>
        </r>
      </text>
    </comment>
  </commentList>
</comments>
</file>

<file path=xl/comments8.xml><?xml version="1.0" encoding="utf-8"?>
<comments xmlns="http://schemas.openxmlformats.org/spreadsheetml/2006/main">
  <authors>
    <author>Alberto RAHAL</author>
  </authors>
  <commentList>
    <comment ref="E7" authorId="0">
      <text>
        <r>
          <rPr>
            <sz val="8"/>
            <rFont val="Tahoma"/>
            <family val="2"/>
          </rPr>
          <t>Introduzca aquí en forma de porcentaje, la variación en el valor de la variable que quiere estudiar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sz val="8"/>
            <rFont val="Tahoma"/>
            <family val="2"/>
          </rPr>
          <t>Este Indicador se utiliza solamente para Proyectos de Extensión de Redes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sz val="8"/>
            <rFont val="Tahoma"/>
            <family val="2"/>
          </rPr>
          <t>Este Indicador se utiliza solamente para Proyectos de Generación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sz val="8"/>
            <rFont val="Tahoma"/>
            <family val="2"/>
          </rPr>
          <t>Este Indicador se utiliza solamente para Proyectos de Extensión de Redes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<sst xmlns="http://schemas.openxmlformats.org/spreadsheetml/2006/main" count="556" uniqueCount="328">
  <si>
    <t>Indicador</t>
  </si>
  <si>
    <t>Componentes</t>
  </si>
  <si>
    <t>Total</t>
  </si>
  <si>
    <t>Años</t>
  </si>
  <si>
    <t>Subtotal</t>
  </si>
  <si>
    <t>TOTAL</t>
  </si>
  <si>
    <t>RPC DIVISA</t>
  </si>
  <si>
    <t>Valor</t>
  </si>
  <si>
    <r>
      <t>D</t>
    </r>
    <r>
      <rPr>
        <sz val="10"/>
        <color indexed="48"/>
        <rFont val="Lucida Casual"/>
        <family val="4"/>
      </rPr>
      <t>ESCRIPCION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</si>
  <si>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T</t>
    </r>
    <r>
      <rPr>
        <sz val="10"/>
        <color indexed="48"/>
        <rFont val="Lucida Casual"/>
        <family val="4"/>
      </rPr>
      <t>ÉCNICOS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</si>
  <si>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O</t>
    </r>
    <r>
      <rPr>
        <sz val="10"/>
        <color indexed="48"/>
        <rFont val="Lucida Casual"/>
        <family val="4"/>
      </rPr>
      <t>PERATIVOS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</si>
  <si>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MBIENTALES</t>
    </r>
  </si>
  <si>
    <r>
      <t>E</t>
    </r>
    <r>
      <rPr>
        <sz val="12"/>
        <color indexed="48"/>
        <rFont val="Lucida Casual"/>
        <family val="4"/>
      </rPr>
      <t xml:space="preserve">VALUACIÓN </t>
    </r>
    <r>
      <rPr>
        <sz val="16"/>
        <color indexed="10"/>
        <rFont val="Lucida Casual"/>
        <family val="4"/>
      </rPr>
      <t>P</t>
    </r>
    <r>
      <rPr>
        <sz val="12"/>
        <color indexed="48"/>
        <rFont val="Lucida Casual"/>
        <family val="4"/>
      </rPr>
      <t>RIVADA</t>
    </r>
  </si>
  <si>
    <r>
      <t>B</t>
    </r>
    <r>
      <rPr>
        <sz val="10"/>
        <color indexed="48"/>
        <rFont val="Lucida Casual"/>
        <family val="4"/>
      </rPr>
      <t xml:space="preserve">ENEFICIOS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</si>
  <si>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C</t>
    </r>
    <r>
      <rPr>
        <sz val="10"/>
        <color indexed="48"/>
        <rFont val="Lucida Casual"/>
        <family val="4"/>
      </rPr>
      <t xml:space="preserve">OSTOS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</si>
  <si>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t>Variables</t>
  </si>
  <si>
    <r>
      <t>N</t>
    </r>
    <r>
      <rPr>
        <sz val="9"/>
        <color indexed="12"/>
        <rFont val="Lucida Casual"/>
        <family val="4"/>
      </rPr>
      <t xml:space="preserve">UMERO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 xml:space="preserve">ÑOS QUE DURA EL </t>
    </r>
    <r>
      <rPr>
        <sz val="10"/>
        <color indexed="10"/>
        <rFont val="Lucida Casual"/>
        <family val="4"/>
      </rPr>
      <t>P</t>
    </r>
    <r>
      <rPr>
        <sz val="9"/>
        <color indexed="12"/>
        <rFont val="Lucida Casual"/>
        <family val="4"/>
      </rPr>
      <t>ROYECTO</t>
    </r>
  </si>
  <si>
    <r>
      <t>A</t>
    </r>
    <r>
      <rPr>
        <sz val="9"/>
        <color indexed="12"/>
        <rFont val="Lucida Casual"/>
        <family val="4"/>
      </rPr>
      <t>ÑO</t>
    </r>
    <r>
      <rPr>
        <sz val="10"/>
        <color indexed="12"/>
        <rFont val="Lucida Casual"/>
        <family val="4"/>
      </rPr>
      <t xml:space="preserve"> </t>
    </r>
    <r>
      <rPr>
        <sz val="10"/>
        <color indexed="10"/>
        <rFont val="Lucida Casual"/>
        <family val="4"/>
      </rPr>
      <t>B</t>
    </r>
    <r>
      <rPr>
        <sz val="9"/>
        <color indexed="12"/>
        <rFont val="Lucida Casual"/>
        <family val="4"/>
      </rPr>
      <t>ASE</t>
    </r>
  </si>
  <si>
    <t>CAES</t>
  </si>
  <si>
    <r>
      <t>C</t>
    </r>
    <r>
      <rPr>
        <sz val="12"/>
        <color indexed="48"/>
        <rFont val="Lucida Casual"/>
        <family val="4"/>
      </rPr>
      <t>ONCLUSIONES Y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R</t>
    </r>
    <r>
      <rPr>
        <sz val="12"/>
        <color indexed="48"/>
        <rFont val="Lucida Casual"/>
        <family val="4"/>
      </rPr>
      <t>ECOMENDACIONES</t>
    </r>
  </si>
  <si>
    <r>
      <t>R</t>
    </r>
    <r>
      <rPr>
        <sz val="10"/>
        <color indexed="48"/>
        <rFont val="Lucida Casual"/>
        <family val="4"/>
      </rPr>
      <t>ECOMENDACIÓN</t>
    </r>
  </si>
  <si>
    <r>
      <t>O</t>
    </r>
    <r>
      <rPr>
        <sz val="10"/>
        <color indexed="48"/>
        <rFont val="Lucida Casual"/>
        <family val="4"/>
      </rPr>
      <t>BSERVACIONES</t>
    </r>
  </si>
  <si>
    <r>
      <t>F</t>
    </r>
    <r>
      <rPr>
        <sz val="10"/>
        <color indexed="48"/>
        <rFont val="Lucida Casual"/>
        <family val="4"/>
      </rPr>
      <t>ECHA</t>
    </r>
  </si>
  <si>
    <r>
      <t xml:space="preserve">        F</t>
    </r>
    <r>
      <rPr>
        <sz val="10"/>
        <color indexed="48"/>
        <rFont val="Lucida Casual"/>
        <family val="4"/>
      </rPr>
      <t>IRMA</t>
    </r>
  </si>
  <si>
    <r>
      <t>R</t>
    </r>
    <r>
      <rPr>
        <sz val="10"/>
        <color indexed="48"/>
        <rFont val="Lucida Casual"/>
        <family val="4"/>
      </rPr>
      <t>ESPONSABLE</t>
    </r>
  </si>
  <si>
    <r>
      <t>C</t>
    </r>
    <r>
      <rPr>
        <sz val="10"/>
        <color indexed="48"/>
        <rFont val="Lucida Casual"/>
        <family val="4"/>
      </rPr>
      <t>ARGO</t>
    </r>
  </si>
  <si>
    <r>
      <t>A</t>
    </r>
    <r>
      <rPr>
        <sz val="10"/>
        <color indexed="48"/>
        <rFont val="Lucida Casual"/>
        <family val="4"/>
      </rPr>
      <t xml:space="preserve">NÁLISIS DE </t>
    </r>
    <r>
      <rPr>
        <sz val="12"/>
        <color indexed="10"/>
        <rFont val="Lucida Casual"/>
        <family val="4"/>
      </rPr>
      <t>M</t>
    </r>
    <r>
      <rPr>
        <sz val="10"/>
        <color indexed="48"/>
        <rFont val="Lucida Casual"/>
        <family val="4"/>
      </rPr>
      <t>ERCADO</t>
    </r>
  </si>
  <si>
    <r>
      <t>I</t>
    </r>
    <r>
      <rPr>
        <sz val="10"/>
        <color indexed="48"/>
        <rFont val="Lucida Casual"/>
        <family val="4"/>
      </rPr>
      <t xml:space="preserve">NFORMACION  </t>
    </r>
    <r>
      <rPr>
        <sz val="14"/>
        <color indexed="10"/>
        <rFont val="Lucida Casual"/>
        <family val="4"/>
      </rPr>
      <t>G</t>
    </r>
    <r>
      <rPr>
        <sz val="10"/>
        <color indexed="48"/>
        <rFont val="Lucida Casual"/>
        <family val="4"/>
      </rPr>
      <t>ENERAL</t>
    </r>
  </si>
  <si>
    <r>
      <t>P</t>
    </r>
    <r>
      <rPr>
        <sz val="10"/>
        <color indexed="48"/>
        <rFont val="Lucida Casual"/>
        <family val="4"/>
      </rPr>
      <t xml:space="preserve">ARAMETROS PARA LA </t>
    </r>
    <r>
      <rPr>
        <sz val="14"/>
        <color indexed="10"/>
        <rFont val="Lucida Casual"/>
        <family val="4"/>
      </rPr>
      <t>E</t>
    </r>
    <r>
      <rPr>
        <sz val="10"/>
        <color indexed="48"/>
        <rFont val="Lucida Casual"/>
        <family val="4"/>
      </rPr>
      <t>VALUACIÓN</t>
    </r>
  </si>
  <si>
    <t>Bienestar de la Comunidad</t>
  </si>
  <si>
    <t>Total de Beneficios Socioeconómicos</t>
  </si>
  <si>
    <t>Número de Usuarios Beneficiados</t>
  </si>
  <si>
    <t>Inversión</t>
  </si>
  <si>
    <t>Operación</t>
  </si>
  <si>
    <t>Mantenimiento</t>
  </si>
  <si>
    <t>Comercialización</t>
  </si>
  <si>
    <t>Compra de Energía/Compra de Combustible</t>
  </si>
  <si>
    <r>
      <t>I</t>
    </r>
    <r>
      <rPr>
        <sz val="10"/>
        <color indexed="48"/>
        <rFont val="Lucida Casual"/>
        <family val="4"/>
      </rPr>
      <t xml:space="preserve">NGRESOS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</si>
  <si>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t>Potencia Instalada - kW</t>
  </si>
  <si>
    <t>VANS</t>
  </si>
  <si>
    <t>VANP</t>
  </si>
  <si>
    <t>CAEP</t>
  </si>
  <si>
    <t>Deuda Consesional</t>
  </si>
  <si>
    <t>Deuda Comercial</t>
  </si>
  <si>
    <t>Nuevo Valor   %</t>
  </si>
  <si>
    <t>Monto de la Inversión</t>
  </si>
  <si>
    <t>Demanda de Energía</t>
  </si>
  <si>
    <t>Valor Actual</t>
  </si>
  <si>
    <t>Extensión de Redes</t>
  </si>
  <si>
    <t>RPC MANO DE OBRA SEMICALIFICADA</t>
  </si>
  <si>
    <t>RPC MANO DE OBRA NO CALIFICADA URBANA</t>
  </si>
  <si>
    <t>RPC MANO DE OBRA NO CALIFICADA RURAL</t>
  </si>
  <si>
    <t>RPC MANO DE OBRA CALIFICADA</t>
  </si>
  <si>
    <t>Mano de Obra Calificada</t>
  </si>
  <si>
    <t>Materiales Locales</t>
  </si>
  <si>
    <t>IMPACTO AMBIENTAL</t>
  </si>
  <si>
    <t>Ninguno</t>
  </si>
  <si>
    <t>Bajo</t>
  </si>
  <si>
    <t>Medio</t>
  </si>
  <si>
    <t>Alto</t>
  </si>
  <si>
    <t>Tipo de Impacto</t>
  </si>
  <si>
    <t>Categoría del Impacto</t>
  </si>
  <si>
    <t>Transitorio</t>
  </si>
  <si>
    <t>Permanent</t>
  </si>
  <si>
    <t>Bosque</t>
  </si>
  <si>
    <t>Suelo</t>
  </si>
  <si>
    <t>Agua</t>
  </si>
  <si>
    <t>Aire</t>
  </si>
  <si>
    <t>Biodiversidad</t>
  </si>
  <si>
    <t>Liberación de Recursos por Energía Sustituta</t>
  </si>
  <si>
    <t>Unidad Monetaria</t>
  </si>
  <si>
    <t>Bienes Transables</t>
  </si>
  <si>
    <t>Mano de Obra Semicalificada</t>
  </si>
  <si>
    <t>M. De O. No Calificada Urbana</t>
  </si>
  <si>
    <t>M.de O. No Calificada Rural</t>
  </si>
  <si>
    <t>Impacto Ambiental</t>
  </si>
  <si>
    <t>Costo de los Estudios de Impacto</t>
  </si>
  <si>
    <t>Costo del Manejo del Impacto</t>
  </si>
  <si>
    <r>
      <t>I</t>
    </r>
    <r>
      <rPr>
        <sz val="12"/>
        <color indexed="12"/>
        <rFont val="Lucida Casual"/>
        <family val="4"/>
      </rPr>
      <t xml:space="preserve">NVERSIÓN </t>
    </r>
    <r>
      <rPr>
        <sz val="14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 xml:space="preserve">STIMADA Y </t>
    </r>
    <r>
      <rPr>
        <sz val="14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INANCIAMIENTO</t>
    </r>
  </si>
  <si>
    <t>Detalle</t>
  </si>
  <si>
    <t>Donación</t>
  </si>
  <si>
    <t>Terreno</t>
  </si>
  <si>
    <t>Edificaciones</t>
  </si>
  <si>
    <t>Equipamiento</t>
  </si>
  <si>
    <t>Suministros</t>
  </si>
  <si>
    <t>Supervisión</t>
  </si>
  <si>
    <t>Gastos Generales e Imprevistos</t>
  </si>
  <si>
    <t>Participación de los COSTOS de EEIA según Categoría y Monto del</t>
  </si>
  <si>
    <t xml:space="preserve">Participación de los Costos Ambientales por Categoría y Monto en </t>
  </si>
  <si>
    <t>Proyecto dentro de los Costos del Proyecto</t>
  </si>
  <si>
    <t>el Costo Total del Proyecto</t>
  </si>
  <si>
    <t>Costo del Proyecto</t>
  </si>
  <si>
    <t>Categoría del Proyecto</t>
  </si>
  <si>
    <t>millones de $ Bol.</t>
  </si>
  <si>
    <t>&lt; 30</t>
  </si>
  <si>
    <t>30-60</t>
  </si>
  <si>
    <t>60-120</t>
  </si>
  <si>
    <t>&gt;120</t>
  </si>
  <si>
    <t>VACS</t>
  </si>
  <si>
    <t>Usuarios</t>
  </si>
  <si>
    <r>
      <t>A</t>
    </r>
    <r>
      <rPr>
        <sz val="12"/>
        <color indexed="48"/>
        <rFont val="Lucida Casual"/>
        <family val="4"/>
      </rPr>
      <t xml:space="preserve">NALISIS DE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ENSIBILIDAD</t>
    </r>
  </si>
  <si>
    <t>Energético</t>
  </si>
  <si>
    <t>Uso</t>
  </si>
  <si>
    <t>Cantidad Mensual</t>
  </si>
  <si>
    <t>Velas</t>
  </si>
  <si>
    <t>Baterías</t>
  </si>
  <si>
    <t>Pilas</t>
  </si>
  <si>
    <t>Carbón</t>
  </si>
  <si>
    <t>Kerosene</t>
  </si>
  <si>
    <t>Costo Unitario Bs</t>
  </si>
  <si>
    <t>Factor de Conversión</t>
  </si>
  <si>
    <t>Supuestos de Cálculo</t>
  </si>
  <si>
    <t>Capacidad 18W Duración 2.5 horas</t>
  </si>
  <si>
    <t>Consumo de 0.5 Litros cada 4 horas</t>
  </si>
  <si>
    <t>Bateria de 12 Voltios  16 Amperios hora</t>
  </si>
  <si>
    <t>Aparato de 3 W, 4 Pilas Duración 5 horas</t>
  </si>
  <si>
    <t>Unidad de Medida</t>
  </si>
  <si>
    <t>kWh/Vela</t>
  </si>
  <si>
    <t>kWh/litro</t>
  </si>
  <si>
    <t>kWh/Pila</t>
  </si>
  <si>
    <t>kWh/Bat.</t>
  </si>
  <si>
    <t>Qo</t>
  </si>
  <si>
    <t>Po</t>
  </si>
  <si>
    <t>Energía Sustituta</t>
  </si>
  <si>
    <t>Bs/kWh (Po)</t>
  </si>
  <si>
    <t>VACP</t>
  </si>
  <si>
    <t>VADP</t>
  </si>
  <si>
    <t>VADS</t>
  </si>
  <si>
    <t>CAS</t>
  </si>
  <si>
    <t>CAP / kWh</t>
  </si>
  <si>
    <t>CAP/kWh</t>
  </si>
  <si>
    <t>TARIFA SELECCIONADA</t>
  </si>
  <si>
    <t>CAS / kWh</t>
  </si>
  <si>
    <t>Tarifa de Venta de Energía de Referencia (Proporcionada)</t>
  </si>
  <si>
    <t>Otros</t>
  </si>
  <si>
    <t>kWh/kilo</t>
  </si>
  <si>
    <t>kWh</t>
  </si>
  <si>
    <t>Bs/kWh</t>
  </si>
  <si>
    <t>(especificar)</t>
  </si>
  <si>
    <r>
      <t>D</t>
    </r>
    <r>
      <rPr>
        <sz val="10"/>
        <color indexed="12"/>
        <rFont val="Lucida Casual"/>
        <family val="4"/>
      </rPr>
      <t>EMANDA DE</t>
    </r>
    <r>
      <rPr>
        <sz val="14"/>
        <color indexed="10"/>
        <rFont val="Lucida Casual"/>
        <family val="4"/>
      </rPr>
      <t xml:space="preserve"> E</t>
    </r>
    <r>
      <rPr>
        <sz val="10"/>
        <color indexed="12"/>
        <rFont val="Lucida Casual"/>
        <family val="4"/>
      </rPr>
      <t>NERGÍA</t>
    </r>
  </si>
  <si>
    <t>TASA SOCIAL DE DESCUENTO</t>
  </si>
  <si>
    <t>Depreciación (-)</t>
  </si>
  <si>
    <t>Costos Financieros (Intereses)</t>
  </si>
  <si>
    <t>Depreciación (+)</t>
  </si>
  <si>
    <t>Total Costos</t>
  </si>
  <si>
    <t>Flujo de Fondos Neto</t>
  </si>
  <si>
    <t>Valor de Salvamento</t>
  </si>
  <si>
    <t>Total Costos de Operación</t>
  </si>
  <si>
    <t>Total Ingresos</t>
  </si>
  <si>
    <t>Total Costos de Inversión</t>
  </si>
  <si>
    <t>Costos de Impacto Ambiental</t>
  </si>
  <si>
    <t xml:space="preserve"> </t>
  </si>
  <si>
    <t xml:space="preserve">Total Costos </t>
  </si>
  <si>
    <r>
      <t>F</t>
    </r>
    <r>
      <rPr>
        <sz val="10"/>
        <color indexed="12"/>
        <rFont val="Lucida Casual"/>
        <family val="4"/>
      </rPr>
      <t xml:space="preserve">LUJO DE </t>
    </r>
    <r>
      <rPr>
        <sz val="14"/>
        <color indexed="10"/>
        <rFont val="Lucida Casual"/>
        <family val="4"/>
      </rPr>
      <t>F</t>
    </r>
    <r>
      <rPr>
        <sz val="10"/>
        <color indexed="12"/>
        <rFont val="Lucida Casual"/>
        <family val="4"/>
      </rPr>
      <t>ONDOS</t>
    </r>
  </si>
  <si>
    <t>Total General</t>
  </si>
  <si>
    <t>T.G.N.</t>
  </si>
  <si>
    <t>Recursos Propios</t>
  </si>
  <si>
    <t>Recursos de Contraval.</t>
  </si>
  <si>
    <t>Crédito Externo</t>
  </si>
  <si>
    <t>Total Finaciam. Externo</t>
  </si>
  <si>
    <t>FLUJO DE FONDOS NETO</t>
  </si>
  <si>
    <r>
      <t>N</t>
    </r>
    <r>
      <rPr>
        <sz val="9"/>
        <color indexed="12"/>
        <rFont val="Lucida Casual"/>
        <family val="4"/>
      </rPr>
      <t xml:space="preserve">UMERO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>ÑOS QUE DURA LA</t>
    </r>
    <r>
      <rPr>
        <sz val="11"/>
        <color indexed="10"/>
        <rFont val="Lucida Casual"/>
        <family val="4"/>
      </rPr>
      <t xml:space="preserve"> I</t>
    </r>
    <r>
      <rPr>
        <sz val="9"/>
        <color indexed="12"/>
        <rFont val="Lucida Casual"/>
        <family val="4"/>
      </rPr>
      <t>NVERSIÓN</t>
    </r>
  </si>
  <si>
    <t>Unidades</t>
  </si>
  <si>
    <t>Kilos</t>
  </si>
  <si>
    <t>Litros</t>
  </si>
  <si>
    <t>Potencia Instalada - kW (Con Proyecto)</t>
  </si>
  <si>
    <r>
      <t>E</t>
    </r>
    <r>
      <rPr>
        <sz val="12"/>
        <color indexed="48"/>
        <rFont val="Lucida Casual"/>
        <family val="4"/>
      </rPr>
      <t>VALUACIÓN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OCIOECONÓMICA</t>
    </r>
  </si>
  <si>
    <t>Total Financiam Interno</t>
  </si>
  <si>
    <t>kWh          (Qo)</t>
  </si>
  <si>
    <t>Diesel</t>
  </si>
  <si>
    <t>Equipo de 10 kVA con 225 lt/h de rendimiento</t>
  </si>
  <si>
    <t>kWh/lt</t>
  </si>
  <si>
    <t>Carbón calidad promedio rendimiento de 35%</t>
  </si>
  <si>
    <t>kWh/Garr.</t>
  </si>
  <si>
    <t>LLENE ESTA SECCIÖN ANTES DE COMENZAR A INTRODUCIR INFORMACIÓN EN LA HOJA Y PULSE EL BOTÓN</t>
  </si>
  <si>
    <t>Amortización (+)</t>
  </si>
  <si>
    <t>Los Factores de Conversión son calculados por diferentes procedimientos, pero no existe un consenso total sobre su exactitud. Si lo desea puede cambiar los valores</t>
  </si>
  <si>
    <t>GASTO/MES ENERGÉTICOS TRADICIONALES</t>
  </si>
  <si>
    <t>Cantidad Mensual Consumida * Factor de Conversión</t>
  </si>
  <si>
    <t>Costo Total Mensual / Qo</t>
  </si>
  <si>
    <t>Demanda Cubierta por el Proyecto - kWh</t>
  </si>
  <si>
    <t>Demanda de Energía Sustituta - kWh</t>
  </si>
  <si>
    <t xml:space="preserve">Tarifa Seleccionada </t>
  </si>
  <si>
    <t>Garrafas de 10 Kilos</t>
  </si>
  <si>
    <t>Tasa de Descuento Privada</t>
  </si>
  <si>
    <t>Tarifa de Venta de Energía - Bs./kWh (Calculada)</t>
  </si>
  <si>
    <t>Energía Ahorrada por Reducción de Pérdidas - kWh</t>
  </si>
  <si>
    <t>Demanda No Racionada - % del anterior</t>
  </si>
  <si>
    <t>Beneficio por Demanda Adicional-kWh</t>
  </si>
  <si>
    <t>Reducción de Pérdidas</t>
  </si>
  <si>
    <t>Aumento de la Continuidad</t>
  </si>
  <si>
    <t>Garrafas</t>
  </si>
  <si>
    <t>TIRP</t>
  </si>
  <si>
    <t>RBC Privado</t>
  </si>
  <si>
    <t>TIRS</t>
  </si>
  <si>
    <t>RBC Social</t>
  </si>
  <si>
    <t>VAIP</t>
  </si>
  <si>
    <t>RBCP</t>
  </si>
  <si>
    <t>VAIS</t>
  </si>
  <si>
    <t>RBCS</t>
  </si>
  <si>
    <t>ALTIPLANO</t>
  </si>
  <si>
    <t>VALLES</t>
  </si>
  <si>
    <t>LLANOS</t>
  </si>
  <si>
    <t>Max</t>
  </si>
  <si>
    <t>Min</t>
  </si>
  <si>
    <t>Dólares</t>
  </si>
  <si>
    <t>% de Cambio</t>
  </si>
  <si>
    <t>Tarifa Proporcionada (Bs/kWh)</t>
  </si>
  <si>
    <t>Impuesto Específico Hidrocarb.</t>
  </si>
  <si>
    <r>
      <t>Préstamo (-)</t>
    </r>
    <r>
      <rPr>
        <sz val="8"/>
        <color indexed="10"/>
        <rFont val="Arial"/>
        <family val="2"/>
      </rPr>
      <t>Escribir el Valor con signo Negativo</t>
    </r>
  </si>
  <si>
    <t>Costo de Inversión por Familia</t>
  </si>
  <si>
    <t>Costo / Kilómetro</t>
  </si>
  <si>
    <t>Número de Familias a Beneficiar (año 0)</t>
  </si>
  <si>
    <t>Inversión por kWh de Potencia</t>
  </si>
  <si>
    <r>
      <t>I</t>
    </r>
    <r>
      <rPr>
        <sz val="10"/>
        <color indexed="48"/>
        <rFont val="Lucida Casual"/>
        <family val="4"/>
      </rPr>
      <t xml:space="preserve">NDICADORES </t>
    </r>
    <r>
      <rPr>
        <sz val="12"/>
        <color indexed="10"/>
        <rFont val="Lucida Casual"/>
        <family val="0"/>
      </rPr>
      <t>F</t>
    </r>
    <r>
      <rPr>
        <sz val="10"/>
        <color indexed="48"/>
        <rFont val="Lucida Casual"/>
        <family val="4"/>
      </rPr>
      <t>INANCIEROS</t>
    </r>
  </si>
  <si>
    <r>
      <t>I</t>
    </r>
    <r>
      <rPr>
        <sz val="10"/>
        <color indexed="48"/>
        <rFont val="Lucida Casual"/>
        <family val="4"/>
      </rPr>
      <t xml:space="preserve">NDICADORES </t>
    </r>
    <r>
      <rPr>
        <sz val="12"/>
        <color indexed="10"/>
        <rFont val="Lucida Casual"/>
        <family val="0"/>
      </rPr>
      <t>S</t>
    </r>
    <r>
      <rPr>
        <sz val="10"/>
        <color indexed="48"/>
        <rFont val="Lucida Casual"/>
        <family val="4"/>
      </rPr>
      <t>OCIOECONOMICOS</t>
    </r>
  </si>
  <si>
    <r>
      <t>I</t>
    </r>
    <r>
      <rPr>
        <sz val="10"/>
        <color indexed="48"/>
        <rFont val="Lucida Casual"/>
        <family val="4"/>
      </rPr>
      <t xml:space="preserve">NDICADORES DE </t>
    </r>
    <r>
      <rPr>
        <sz val="12"/>
        <color indexed="10"/>
        <rFont val="Lucida Casual"/>
        <family val="0"/>
      </rPr>
      <t>C</t>
    </r>
    <r>
      <rPr>
        <sz val="10"/>
        <color indexed="48"/>
        <rFont val="Lucida Casual"/>
        <family val="4"/>
      </rPr>
      <t xml:space="preserve">OSTO </t>
    </r>
    <r>
      <rPr>
        <sz val="12"/>
        <color indexed="10"/>
        <rFont val="Lucida Casual"/>
        <family val="0"/>
      </rPr>
      <t>E</t>
    </r>
    <r>
      <rPr>
        <sz val="10"/>
        <color indexed="48"/>
        <rFont val="Lucida Casual"/>
        <family val="4"/>
      </rPr>
      <t>FICIENCIA</t>
    </r>
  </si>
  <si>
    <r>
      <t>O</t>
    </r>
    <r>
      <rPr>
        <sz val="10"/>
        <color indexed="12"/>
        <rFont val="Lucida Casual"/>
        <family val="4"/>
      </rPr>
      <t>TROS</t>
    </r>
    <r>
      <rPr>
        <sz val="10"/>
        <color indexed="10"/>
        <rFont val="Lucida Casual"/>
        <family val="4"/>
      </rPr>
      <t xml:space="preserve"> </t>
    </r>
    <r>
      <rPr>
        <sz val="12"/>
        <color indexed="10"/>
        <rFont val="Lucida Casual"/>
        <family val="0"/>
      </rPr>
      <t>I</t>
    </r>
    <r>
      <rPr>
        <sz val="10"/>
        <color indexed="48"/>
        <rFont val="Lucida Casual"/>
        <family val="4"/>
      </rPr>
      <t xml:space="preserve">NDICADORES </t>
    </r>
    <r>
      <rPr>
        <sz val="12"/>
        <color indexed="10"/>
        <rFont val="Lucida Casual"/>
        <family val="0"/>
      </rPr>
      <t>E</t>
    </r>
    <r>
      <rPr>
        <sz val="10"/>
        <color indexed="12"/>
        <rFont val="Lucida Casual"/>
        <family val="4"/>
      </rPr>
      <t xml:space="preserve">STANDAR PARA </t>
    </r>
    <r>
      <rPr>
        <sz val="12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ROYECTOS </t>
    </r>
    <r>
      <rPr>
        <sz val="12"/>
        <color indexed="10"/>
        <rFont val="Lucida Casual"/>
        <family val="0"/>
      </rPr>
      <t>S</t>
    </r>
    <r>
      <rPr>
        <sz val="10"/>
        <color indexed="12"/>
        <rFont val="Lucida Casual"/>
        <family val="4"/>
      </rPr>
      <t>IMILARES</t>
    </r>
  </si>
  <si>
    <r>
      <t>T</t>
    </r>
    <r>
      <rPr>
        <sz val="10"/>
        <color indexed="12"/>
        <rFont val="Lucida Casual"/>
        <family val="4"/>
      </rPr>
      <t>OPOGRAFÍA</t>
    </r>
  </si>
  <si>
    <r>
      <t>C</t>
    </r>
    <r>
      <rPr>
        <sz val="10"/>
        <color indexed="12"/>
        <rFont val="Lucida Casual"/>
        <family val="4"/>
      </rPr>
      <t xml:space="preserve">ARACTERÍSTICAS </t>
    </r>
    <r>
      <rPr>
        <sz val="12"/>
        <color indexed="10"/>
        <rFont val="Lucida Casual"/>
        <family val="0"/>
      </rPr>
      <t>G</t>
    </r>
    <r>
      <rPr>
        <sz val="10"/>
        <color indexed="12"/>
        <rFont val="Lucida Casual"/>
        <family val="4"/>
      </rPr>
      <t>EOGRÁFICAS</t>
    </r>
  </si>
  <si>
    <r>
      <t>R</t>
    </r>
    <r>
      <rPr>
        <sz val="10"/>
        <color indexed="12"/>
        <rFont val="Lucida Casual"/>
        <family val="4"/>
      </rPr>
      <t>EGIÓN</t>
    </r>
  </si>
  <si>
    <t>Tipo de Cambio (Bs. por Dólar)</t>
  </si>
  <si>
    <r>
      <t>S</t>
    </r>
    <r>
      <rPr>
        <sz val="10"/>
        <color indexed="12"/>
        <rFont val="Arial"/>
        <family val="0"/>
      </rPr>
      <t>UELO</t>
    </r>
  </si>
  <si>
    <t>CAP / kWh  - (VACP / VADP)</t>
  </si>
  <si>
    <t>CAS / kW  - (VACS / VADS)</t>
  </si>
  <si>
    <t>VACP / Potencia (kW)</t>
  </si>
  <si>
    <t>VACS / Potencia (kW)</t>
  </si>
  <si>
    <t>VACP / Kilómetro</t>
  </si>
  <si>
    <t>VACS / Kilómetro</t>
  </si>
  <si>
    <t>C</t>
  </si>
  <si>
    <t>B</t>
  </si>
  <si>
    <t>A</t>
  </si>
  <si>
    <t>Costos de Generación</t>
  </si>
  <si>
    <t>Red de Baja Tensión</t>
  </si>
  <si>
    <t>Linea de Media Tensión</t>
  </si>
  <si>
    <t>GRADO DE DIFICULTAD</t>
  </si>
  <si>
    <t>Media Tensión</t>
  </si>
  <si>
    <t>Baja Tensión</t>
  </si>
  <si>
    <t>REGIÓN</t>
  </si>
  <si>
    <t>Línea de Media Tensión</t>
  </si>
  <si>
    <t>Costo / Familia   (Generación)</t>
  </si>
  <si>
    <t>Costo / Kilovatio (Generación)</t>
  </si>
  <si>
    <t>Costo de Inversión por Km (MT)</t>
  </si>
  <si>
    <t>Costo de Inversión por Km (BT)</t>
  </si>
  <si>
    <r>
      <t>P</t>
    </r>
    <r>
      <rPr>
        <sz val="10"/>
        <color indexed="48"/>
        <rFont val="Lucida Casual"/>
        <family val="4"/>
      </rPr>
      <t xml:space="preserve">ROYECTOS DE </t>
    </r>
    <r>
      <rPr>
        <sz val="12"/>
        <color indexed="10"/>
        <rFont val="Lucida Casual"/>
        <family val="0"/>
      </rPr>
      <t>G</t>
    </r>
    <r>
      <rPr>
        <sz val="10"/>
        <color indexed="48"/>
        <rFont val="Lucida Casual"/>
        <family val="4"/>
      </rPr>
      <t xml:space="preserve">ENERACION CON </t>
    </r>
    <r>
      <rPr>
        <sz val="12"/>
        <color indexed="10"/>
        <rFont val="Lucida Casual"/>
        <family val="0"/>
      </rPr>
      <t>M</t>
    </r>
    <r>
      <rPr>
        <sz val="10"/>
        <color indexed="48"/>
        <rFont val="Lucida Casual"/>
        <family val="4"/>
      </rPr>
      <t xml:space="preserve">ICROCENTRALES </t>
    </r>
    <r>
      <rPr>
        <sz val="12"/>
        <color indexed="10"/>
        <rFont val="Lucida Casual"/>
        <family val="0"/>
      </rPr>
      <t>H</t>
    </r>
    <r>
      <rPr>
        <sz val="10"/>
        <color indexed="48"/>
        <rFont val="Lucida Casual"/>
        <family val="4"/>
      </rPr>
      <t>IDROELECTRICAS</t>
    </r>
  </si>
  <si>
    <r>
      <t>P</t>
    </r>
    <r>
      <rPr>
        <sz val="10"/>
        <color indexed="48"/>
        <rFont val="Lucida Casual"/>
        <family val="4"/>
      </rPr>
      <t xml:space="preserve">ROYECTOS DE </t>
    </r>
    <r>
      <rPr>
        <sz val="12"/>
        <color indexed="10"/>
        <rFont val="Lucida Casual"/>
        <family val="0"/>
      </rPr>
      <t>G</t>
    </r>
    <r>
      <rPr>
        <sz val="10"/>
        <color indexed="48"/>
        <rFont val="Lucida Casual"/>
        <family val="4"/>
      </rPr>
      <t xml:space="preserve">ENERACION CON </t>
    </r>
    <r>
      <rPr>
        <sz val="12"/>
        <color indexed="10"/>
        <rFont val="Lucida Casual"/>
        <family val="0"/>
      </rPr>
      <t>M</t>
    </r>
    <r>
      <rPr>
        <sz val="10"/>
        <color indexed="48"/>
        <rFont val="Lucida Casual"/>
        <family val="4"/>
      </rPr>
      <t xml:space="preserve">ICROCENTRALES </t>
    </r>
    <r>
      <rPr>
        <sz val="12"/>
        <color indexed="10"/>
        <rFont val="Lucida Casual"/>
        <family val="0"/>
      </rPr>
      <t>T</t>
    </r>
    <r>
      <rPr>
        <sz val="10"/>
        <color indexed="48"/>
        <rFont val="Lucida Casual"/>
        <family val="4"/>
      </rPr>
      <t>ERMOELECTRICAS</t>
    </r>
  </si>
  <si>
    <r>
      <t>P</t>
    </r>
    <r>
      <rPr>
        <sz val="10"/>
        <color indexed="48"/>
        <rFont val="Lucida Casual"/>
        <family val="4"/>
      </rPr>
      <t xml:space="preserve">ROYECTOS DE </t>
    </r>
    <r>
      <rPr>
        <sz val="12"/>
        <color indexed="10"/>
        <rFont val="Lucida Casual"/>
        <family val="0"/>
      </rPr>
      <t>G</t>
    </r>
    <r>
      <rPr>
        <sz val="10"/>
        <color indexed="48"/>
        <rFont val="Lucida Casual"/>
        <family val="4"/>
      </rPr>
      <t xml:space="preserve">ENERACION DE </t>
    </r>
    <r>
      <rPr>
        <sz val="12"/>
        <color indexed="10"/>
        <rFont val="Lucida Casual"/>
        <family val="0"/>
      </rPr>
      <t>E</t>
    </r>
    <r>
      <rPr>
        <sz val="10"/>
        <color indexed="48"/>
        <rFont val="Lucida Casual"/>
        <family val="4"/>
      </rPr>
      <t xml:space="preserve">NERGÍAS </t>
    </r>
    <r>
      <rPr>
        <sz val="12"/>
        <color indexed="10"/>
        <rFont val="Lucida Casual"/>
        <family val="0"/>
      </rPr>
      <t>A</t>
    </r>
    <r>
      <rPr>
        <sz val="10"/>
        <color indexed="48"/>
        <rFont val="Lucida Casual"/>
        <family val="4"/>
      </rPr>
      <t>LTERNATIVAS</t>
    </r>
  </si>
  <si>
    <r>
      <t>P</t>
    </r>
    <r>
      <rPr>
        <sz val="10"/>
        <color indexed="48"/>
        <rFont val="Lucida Casual"/>
        <family val="4"/>
      </rPr>
      <t xml:space="preserve">ROYECTOS DE </t>
    </r>
    <r>
      <rPr>
        <sz val="12"/>
        <color indexed="10"/>
        <rFont val="Lucida Casual"/>
        <family val="0"/>
      </rPr>
      <t>E</t>
    </r>
    <r>
      <rPr>
        <sz val="10"/>
        <color indexed="48"/>
        <rFont val="Lucida Casual"/>
        <family val="4"/>
      </rPr>
      <t xml:space="preserve">XTENSIÓN DE </t>
    </r>
    <r>
      <rPr>
        <sz val="12"/>
        <color indexed="10"/>
        <rFont val="Lucida Casual"/>
        <family val="0"/>
      </rPr>
      <t>R</t>
    </r>
    <r>
      <rPr>
        <sz val="10"/>
        <color indexed="48"/>
        <rFont val="Lucida Casual"/>
        <family val="4"/>
      </rPr>
      <t>EDES</t>
    </r>
  </si>
  <si>
    <t>TIPO DE LINEA</t>
  </si>
  <si>
    <t>Costo / Familia (Extensión de Redes)</t>
  </si>
  <si>
    <r>
      <t>A</t>
    </r>
    <r>
      <rPr>
        <sz val="10"/>
        <color indexed="12"/>
        <rFont val="Lucida Casual"/>
        <family val="4"/>
      </rPr>
      <t>REA</t>
    </r>
  </si>
  <si>
    <r>
      <t>D</t>
    </r>
    <r>
      <rPr>
        <sz val="8"/>
        <color indexed="12"/>
        <rFont val="Arial"/>
        <family val="2"/>
      </rPr>
      <t>IFICULTAD</t>
    </r>
  </si>
  <si>
    <t>Generación y Distribución con Microcentrales Hidroeléctricas</t>
  </si>
  <si>
    <r>
      <t>E</t>
    </r>
    <r>
      <rPr>
        <sz val="10"/>
        <color indexed="48"/>
        <rFont val="Lucida Casual"/>
        <family val="4"/>
      </rPr>
      <t xml:space="preserve">STRUCTURA DEL </t>
    </r>
    <r>
      <rPr>
        <sz val="12"/>
        <color indexed="10"/>
        <rFont val="Lucida Casual"/>
        <family val="0"/>
      </rPr>
      <t>C</t>
    </r>
    <r>
      <rPr>
        <sz val="10"/>
        <color indexed="48"/>
        <rFont val="Lucida Casual"/>
        <family val="4"/>
      </rPr>
      <t>ONSUMO</t>
    </r>
  </si>
  <si>
    <t>Número de Usuarios</t>
  </si>
  <si>
    <t>Tasas de Crecimiento de los Usuarios</t>
  </si>
  <si>
    <t>1 a 5</t>
  </si>
  <si>
    <t>6 a 10</t>
  </si>
  <si>
    <t>11 a 15</t>
  </si>
  <si>
    <t>16 a 20</t>
  </si>
  <si>
    <t>Categoría Industrial</t>
  </si>
  <si>
    <t>Alumbrado Público</t>
  </si>
  <si>
    <t>Tasas de Crecimiento del Consumo</t>
  </si>
  <si>
    <t>Categoría Doméstica</t>
  </si>
  <si>
    <t>Categoría General</t>
  </si>
  <si>
    <t>CATEGORÍA</t>
  </si>
  <si>
    <r>
      <t>P</t>
    </r>
    <r>
      <rPr>
        <sz val="10"/>
        <color indexed="48"/>
        <rFont val="Lucida Casual"/>
        <family val="4"/>
      </rPr>
      <t xml:space="preserve">ROYECCIÓN DE LA </t>
    </r>
    <r>
      <rPr>
        <sz val="12"/>
        <color indexed="10"/>
        <rFont val="Lucida Casual"/>
        <family val="0"/>
      </rPr>
      <t>D</t>
    </r>
    <r>
      <rPr>
        <sz val="10"/>
        <color indexed="48"/>
        <rFont val="Lucida Casual"/>
        <family val="4"/>
      </rPr>
      <t xml:space="preserve">EMANDA POR </t>
    </r>
    <r>
      <rPr>
        <sz val="12"/>
        <color indexed="10"/>
        <rFont val="Lucida Casual"/>
        <family val="0"/>
      </rPr>
      <t>C</t>
    </r>
    <r>
      <rPr>
        <sz val="10"/>
        <color indexed="48"/>
        <rFont val="Lucida Casual"/>
        <family val="4"/>
      </rPr>
      <t>ATEGORÍAS</t>
    </r>
  </si>
  <si>
    <t>Categoría</t>
  </si>
  <si>
    <t>Número de Luminarias</t>
  </si>
  <si>
    <t>Horas Diarias de Uso</t>
  </si>
  <si>
    <t>Tasas de Crecimiento de las Luminarias</t>
  </si>
  <si>
    <t>La Tasa de Crecimiento de las Luminarias debe oscilar entre   2 y 5 %</t>
  </si>
  <si>
    <t>Si llena el campo "Otros" debe especificar un Factor de Conversión en el cuadro siguiente</t>
  </si>
  <si>
    <r>
      <t>R</t>
    </r>
    <r>
      <rPr>
        <sz val="10"/>
        <color indexed="48"/>
        <rFont val="Lucida Casual"/>
        <family val="4"/>
      </rPr>
      <t xml:space="preserve">ELACIÓN DEL </t>
    </r>
    <r>
      <rPr>
        <sz val="12"/>
        <color indexed="10"/>
        <rFont val="Lucida Casual"/>
        <family val="0"/>
      </rPr>
      <t>P</t>
    </r>
    <r>
      <rPr>
        <sz val="10"/>
        <color indexed="48"/>
        <rFont val="Lucida Casual"/>
        <family val="4"/>
      </rPr>
      <t xml:space="preserve">ROYECTO CON </t>
    </r>
    <r>
      <rPr>
        <sz val="12"/>
        <color indexed="10"/>
        <rFont val="Lucida Casual"/>
        <family val="0"/>
      </rPr>
      <t>P</t>
    </r>
    <r>
      <rPr>
        <sz val="10"/>
        <color indexed="48"/>
        <rFont val="Lucida Casual"/>
        <family val="4"/>
      </rPr>
      <t xml:space="preserve">LANES Y </t>
    </r>
    <r>
      <rPr>
        <sz val="12"/>
        <color indexed="10"/>
        <rFont val="Lucida Casual"/>
        <family val="0"/>
      </rPr>
      <t>P</t>
    </r>
    <r>
      <rPr>
        <sz val="10"/>
        <color indexed="48"/>
        <rFont val="Lucida Casual"/>
        <family val="4"/>
      </rPr>
      <t>ROGRAMAS</t>
    </r>
  </si>
  <si>
    <r>
      <t>E</t>
    </r>
    <r>
      <rPr>
        <sz val="10"/>
        <color indexed="12"/>
        <rFont val="Lucida Casual"/>
        <family val="4"/>
      </rPr>
      <t xml:space="preserve">STIMACIÓN </t>
    </r>
    <r>
      <rPr>
        <sz val="12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RELIMINAR DEL</t>
    </r>
    <r>
      <rPr>
        <sz val="14"/>
        <color indexed="10"/>
        <rFont val="Lucida Casual"/>
        <family val="4"/>
      </rPr>
      <t xml:space="preserve"> </t>
    </r>
    <r>
      <rPr>
        <sz val="12"/>
        <color indexed="10"/>
        <rFont val="Lucida Casual"/>
        <family val="0"/>
      </rPr>
      <t>I</t>
    </r>
    <r>
      <rPr>
        <sz val="10"/>
        <color indexed="48"/>
        <rFont val="Lucida Casual"/>
        <family val="4"/>
      </rPr>
      <t xml:space="preserve">MPACTO </t>
    </r>
    <r>
      <rPr>
        <sz val="12"/>
        <color indexed="10"/>
        <rFont val="Lucida Casual"/>
        <family val="0"/>
      </rPr>
      <t>A</t>
    </r>
    <r>
      <rPr>
        <sz val="10"/>
        <color indexed="48"/>
        <rFont val="Lucida Casual"/>
        <family val="4"/>
      </rPr>
      <t>MBIENTAL</t>
    </r>
  </si>
  <si>
    <r>
      <t>E</t>
    </r>
    <r>
      <rPr>
        <sz val="10"/>
        <color indexed="48"/>
        <rFont val="Lucida Casual"/>
        <family val="4"/>
      </rPr>
      <t xml:space="preserve">STRUCTURA </t>
    </r>
    <r>
      <rPr>
        <sz val="12"/>
        <color indexed="10"/>
        <rFont val="Lucida Casual"/>
        <family val="0"/>
      </rPr>
      <t>O</t>
    </r>
    <r>
      <rPr>
        <sz val="10"/>
        <color indexed="48"/>
        <rFont val="Lucida Casual"/>
        <family val="4"/>
      </rPr>
      <t xml:space="preserve">RGANIZACIONAL Y DE </t>
    </r>
    <r>
      <rPr>
        <sz val="12"/>
        <color indexed="10"/>
        <rFont val="Lucida Casual"/>
        <family val="0"/>
      </rPr>
      <t>G</t>
    </r>
    <r>
      <rPr>
        <sz val="10"/>
        <color indexed="48"/>
        <rFont val="Lucida Casual"/>
        <family val="4"/>
      </rPr>
      <t>ESTIÓN</t>
    </r>
  </si>
  <si>
    <r>
      <t>O</t>
    </r>
    <r>
      <rPr>
        <sz val="10"/>
        <color indexed="48"/>
        <rFont val="Lucida Casual"/>
        <family val="4"/>
      </rPr>
      <t xml:space="preserve">BJETIVOS DEL </t>
    </r>
    <r>
      <rPr>
        <sz val="12"/>
        <color indexed="10"/>
        <rFont val="Lucida Casual"/>
        <family val="0"/>
      </rPr>
      <t>P</t>
    </r>
    <r>
      <rPr>
        <sz val="10"/>
        <color indexed="48"/>
        <rFont val="Lucida Casual"/>
        <family val="4"/>
      </rPr>
      <t>ROYECTO</t>
    </r>
  </si>
  <si>
    <r>
      <t>T</t>
    </r>
    <r>
      <rPr>
        <sz val="10"/>
        <color indexed="48"/>
        <rFont val="Lucida Casual"/>
        <family val="4"/>
      </rPr>
      <t>AMAÑO Y</t>
    </r>
    <r>
      <rPr>
        <sz val="14"/>
        <color indexed="10"/>
        <rFont val="Lucida Casual"/>
        <family val="4"/>
      </rPr>
      <t xml:space="preserve"> </t>
    </r>
    <r>
      <rPr>
        <sz val="12"/>
        <color indexed="10"/>
        <rFont val="Lucida Casual"/>
        <family val="0"/>
      </rPr>
      <t>L</t>
    </r>
    <r>
      <rPr>
        <sz val="10"/>
        <color indexed="48"/>
        <rFont val="Lucida Casual"/>
        <family val="4"/>
      </rPr>
      <t>OCALIZACIÓN DEL</t>
    </r>
    <r>
      <rPr>
        <sz val="14"/>
        <color indexed="10"/>
        <rFont val="Lucida Casual"/>
        <family val="4"/>
      </rPr>
      <t xml:space="preserve"> </t>
    </r>
    <r>
      <rPr>
        <sz val="12"/>
        <color indexed="10"/>
        <rFont val="Lucida Casual"/>
        <family val="0"/>
      </rPr>
      <t>P</t>
    </r>
    <r>
      <rPr>
        <sz val="10"/>
        <color indexed="48"/>
        <rFont val="Lucida Casual"/>
        <family val="4"/>
      </rPr>
      <t>ROYECTO</t>
    </r>
  </si>
  <si>
    <r>
      <t>P</t>
    </r>
    <r>
      <rPr>
        <sz val="10"/>
        <color indexed="12"/>
        <rFont val="Lucida Casual"/>
        <family val="4"/>
      </rPr>
      <t>ROBLEMA O</t>
    </r>
    <r>
      <rPr>
        <b/>
        <sz val="10"/>
        <color indexed="21"/>
        <rFont val="Lucida Casual"/>
        <family val="4"/>
      </rPr>
      <t xml:space="preserve"> </t>
    </r>
    <r>
      <rPr>
        <sz val="12"/>
        <color indexed="10"/>
        <rFont val="Lucida Casual"/>
        <family val="0"/>
      </rPr>
      <t>N</t>
    </r>
    <r>
      <rPr>
        <sz val="10"/>
        <color indexed="12"/>
        <rFont val="Lucida Casual"/>
        <family val="4"/>
      </rPr>
      <t>ECESIDAD</t>
    </r>
  </si>
  <si>
    <r>
      <t>D</t>
    </r>
    <r>
      <rPr>
        <sz val="10"/>
        <color indexed="12"/>
        <rFont val="Lucida Casual"/>
        <family val="4"/>
      </rPr>
      <t xml:space="preserve">IAGNÓSTICO DE LA </t>
    </r>
    <r>
      <rPr>
        <sz val="12"/>
        <color indexed="10"/>
        <rFont val="Lucida Casual"/>
        <family val="0"/>
      </rPr>
      <t>S</t>
    </r>
    <r>
      <rPr>
        <sz val="10"/>
        <color indexed="12"/>
        <rFont val="Lucida Casual"/>
        <family val="4"/>
      </rPr>
      <t xml:space="preserve">ITUACIÓN </t>
    </r>
    <r>
      <rPr>
        <sz val="12"/>
        <color indexed="10"/>
        <rFont val="Lucida Casual"/>
        <family val="4"/>
      </rPr>
      <t>A</t>
    </r>
    <r>
      <rPr>
        <sz val="10"/>
        <color indexed="12"/>
        <rFont val="Lucida Casual"/>
        <family val="4"/>
      </rPr>
      <t>CTUAL</t>
    </r>
  </si>
  <si>
    <r>
      <t>T</t>
    </r>
    <r>
      <rPr>
        <sz val="10"/>
        <color indexed="48"/>
        <rFont val="Lucida Casual"/>
        <family val="4"/>
      </rPr>
      <t xml:space="preserve">IPO DE </t>
    </r>
    <r>
      <rPr>
        <sz val="12"/>
        <color indexed="10"/>
        <rFont val="Lucida Casual"/>
        <family val="0"/>
      </rPr>
      <t>P</t>
    </r>
    <r>
      <rPr>
        <sz val="10"/>
        <color indexed="48"/>
        <rFont val="Lucida Casual"/>
        <family val="4"/>
      </rPr>
      <t>ROYECTO</t>
    </r>
  </si>
  <si>
    <r>
      <t xml:space="preserve"> N</t>
    </r>
    <r>
      <rPr>
        <sz val="10"/>
        <color indexed="12"/>
        <rFont val="Lucida Casual"/>
        <family val="4"/>
      </rPr>
      <t xml:space="preserve">OMBRE DEL </t>
    </r>
    <r>
      <rPr>
        <sz val="12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ROYECTO</t>
    </r>
  </si>
  <si>
    <r>
      <t>P</t>
    </r>
    <r>
      <rPr>
        <sz val="12"/>
        <color indexed="12"/>
        <rFont val="Lucida Casual"/>
        <family val="4"/>
      </rPr>
      <t xml:space="preserve">REPARACIÓN DEL </t>
    </r>
    <r>
      <rPr>
        <sz val="14"/>
        <color indexed="10"/>
        <rFont val="Lucida Casual"/>
        <family val="0"/>
      </rPr>
      <t>P</t>
    </r>
    <r>
      <rPr>
        <sz val="12"/>
        <color indexed="12"/>
        <rFont val="Lucida Casual"/>
        <family val="4"/>
      </rPr>
      <t>ROYECTO</t>
    </r>
  </si>
  <si>
    <r>
      <t>F</t>
    </r>
    <r>
      <rPr>
        <sz val="10"/>
        <color indexed="48"/>
        <rFont val="Lucida Casual"/>
        <family val="4"/>
      </rPr>
      <t xml:space="preserve">ACTORES DE </t>
    </r>
    <r>
      <rPr>
        <sz val="12"/>
        <color indexed="10"/>
        <rFont val="Lucida Casual"/>
        <family val="0"/>
      </rPr>
      <t>C</t>
    </r>
    <r>
      <rPr>
        <sz val="10"/>
        <color indexed="48"/>
        <rFont val="Lucida Casual"/>
        <family val="4"/>
      </rPr>
      <t xml:space="preserve">ONVERSIÓN A </t>
    </r>
    <r>
      <rPr>
        <sz val="12"/>
        <color indexed="10"/>
        <rFont val="Lucida Casual"/>
        <family val="0"/>
      </rPr>
      <t>E</t>
    </r>
    <r>
      <rPr>
        <sz val="10"/>
        <color indexed="48"/>
        <rFont val="Lucida Casual"/>
        <family val="4"/>
      </rPr>
      <t xml:space="preserve">NERGÍA </t>
    </r>
    <r>
      <rPr>
        <sz val="12"/>
        <color indexed="10"/>
        <rFont val="Lucida Casual"/>
        <family val="0"/>
      </rPr>
      <t>E</t>
    </r>
    <r>
      <rPr>
        <sz val="10"/>
        <color indexed="48"/>
        <rFont val="Lucida Casual"/>
        <family val="4"/>
      </rPr>
      <t>LÉCTRICA</t>
    </r>
  </si>
  <si>
    <t>DEMANDA TOTAL</t>
  </si>
  <si>
    <r>
      <t>P</t>
    </r>
    <r>
      <rPr>
        <sz val="10"/>
        <color indexed="48"/>
        <rFont val="Lucida Casual"/>
        <family val="4"/>
      </rPr>
      <t xml:space="preserve">ROYECCIÓN DE LOS </t>
    </r>
    <r>
      <rPr>
        <sz val="12"/>
        <color indexed="10"/>
        <rFont val="Lucida Casual"/>
        <family val="0"/>
      </rPr>
      <t>U</t>
    </r>
    <r>
      <rPr>
        <sz val="10"/>
        <color indexed="48"/>
        <rFont val="Lucida Casual"/>
        <family val="4"/>
      </rPr>
      <t xml:space="preserve">SUARIOS POR </t>
    </r>
    <r>
      <rPr>
        <sz val="12"/>
        <color indexed="10"/>
        <rFont val="Lucida Casual"/>
        <family val="0"/>
      </rPr>
      <t>C</t>
    </r>
    <r>
      <rPr>
        <sz val="10"/>
        <color indexed="48"/>
        <rFont val="Lucida Casual"/>
        <family val="4"/>
      </rPr>
      <t>ATEGORÍAS</t>
    </r>
  </si>
  <si>
    <t>Usuarios Domésticos</t>
  </si>
  <si>
    <t>Usuarios Generales</t>
  </si>
  <si>
    <t>Usuarios Industriales</t>
  </si>
  <si>
    <t>Luminarias Públicas</t>
  </si>
  <si>
    <t>USUARIOS TOTALES</t>
  </si>
  <si>
    <t>Consumo Doméstico</t>
  </si>
  <si>
    <t>Consumo General</t>
  </si>
  <si>
    <t>Consumo Industrial</t>
  </si>
  <si>
    <t>CONSUMO TOTAL</t>
  </si>
  <si>
    <t>Demanda Doméstica</t>
  </si>
  <si>
    <t>Demanda General</t>
  </si>
  <si>
    <t>Demanda Industrial</t>
  </si>
  <si>
    <t>Consumo kWh / año</t>
  </si>
  <si>
    <t>Venta de Energía</t>
  </si>
  <si>
    <t>Ingresos por Conexiones Nuevas</t>
  </si>
  <si>
    <t>VACP / POTENCIA (kW)</t>
  </si>
  <si>
    <t>VACP / KM</t>
  </si>
  <si>
    <t>VACS / POTENCIA (kW)</t>
  </si>
  <si>
    <t>VACS / KM</t>
  </si>
  <si>
    <t>Como Costos de Inversión se consideran solamente los Costos de Generación + los Costos de la Linea de Media Tensión</t>
  </si>
  <si>
    <t>Como Costos de Inversión se consideran solamente los Costos de Generación de Electricidad</t>
  </si>
  <si>
    <t>Para el Indicador MT se consideran como Costos de Inversión los de la Linea de Media Tensión. Para el Indicador BT los de la Red de Baja Tensión</t>
  </si>
  <si>
    <t>Porcentaje de Pérdidas de la Energía Comprada</t>
  </si>
  <si>
    <t>Financiamiento Interno -</t>
  </si>
  <si>
    <t>Kilómetros de Red Instalada Media Tensión (Con Proyecto)</t>
  </si>
  <si>
    <t>Kilómetros de Red Instalada Baja Tensión (Con Proyecto)</t>
  </si>
  <si>
    <t>Tasa de Crecimiento de la Energía Sustituta - Tasa de Crec. Poblacional</t>
  </si>
  <si>
    <t>Tarifa de Compra de Energía para Proyectos de Ext. de Redes (por kWh)</t>
  </si>
  <si>
    <t>Impuesto a la Utilidad</t>
  </si>
  <si>
    <t>Consumo kWh / mes / usuario</t>
  </si>
  <si>
    <t>Potencia de las Luminar.  kW</t>
  </si>
  <si>
    <t>Costo por Conexión Nueva</t>
  </si>
  <si>
    <t>Tasa de Crecimiento real de la Energía Eléctrica Vendida</t>
  </si>
  <si>
    <r>
      <t>P</t>
    </r>
    <r>
      <rPr>
        <sz val="10"/>
        <color indexed="48"/>
        <rFont val="Lucida Casual"/>
        <family val="4"/>
      </rPr>
      <t xml:space="preserve">ROYECCIÓN DEL </t>
    </r>
    <r>
      <rPr>
        <sz val="12"/>
        <color indexed="10"/>
        <rFont val="Lucida Casual"/>
        <family val="0"/>
      </rPr>
      <t>C</t>
    </r>
    <r>
      <rPr>
        <sz val="10"/>
        <color indexed="48"/>
        <rFont val="Lucida Casual"/>
        <family val="4"/>
      </rPr>
      <t xml:space="preserve">ONSUMO </t>
    </r>
    <r>
      <rPr>
        <sz val="12"/>
        <color indexed="10"/>
        <rFont val="Lucida Casual"/>
        <family val="0"/>
      </rPr>
      <t>E</t>
    </r>
    <r>
      <rPr>
        <sz val="10"/>
        <color indexed="48"/>
        <rFont val="Lucida Casual"/>
        <family val="4"/>
      </rPr>
      <t xml:space="preserve">SPECÍFICO POR </t>
    </r>
    <r>
      <rPr>
        <sz val="12"/>
        <color indexed="10"/>
        <rFont val="Lucida Casual"/>
        <family val="0"/>
      </rPr>
      <t>C</t>
    </r>
    <r>
      <rPr>
        <sz val="10"/>
        <color indexed="48"/>
        <rFont val="Lucida Casual"/>
        <family val="4"/>
      </rPr>
      <t>ATEGORÍAS (kWh)</t>
    </r>
  </si>
  <si>
    <r>
      <t>C</t>
    </r>
    <r>
      <rPr>
        <sz val="10"/>
        <color indexed="12"/>
        <rFont val="Lucida Casual"/>
        <family val="4"/>
      </rPr>
      <t xml:space="preserve">OSTO DE LA </t>
    </r>
    <r>
      <rPr>
        <sz val="12"/>
        <color indexed="10"/>
        <rFont val="Lucida Casual"/>
        <family val="0"/>
      </rPr>
      <t>D</t>
    </r>
    <r>
      <rPr>
        <sz val="10"/>
        <color indexed="48"/>
        <rFont val="Lucida Casual"/>
        <family val="4"/>
      </rPr>
      <t xml:space="preserve">EMANDA </t>
    </r>
    <r>
      <rPr>
        <sz val="12"/>
        <color indexed="10"/>
        <rFont val="Lucida Casual"/>
        <family val="0"/>
      </rPr>
      <t>S</t>
    </r>
    <r>
      <rPr>
        <sz val="10"/>
        <color indexed="48"/>
        <rFont val="Lucida Casual"/>
        <family val="4"/>
      </rPr>
      <t>USTITUTA (Mensual por familia)</t>
    </r>
  </si>
  <si>
    <t>GLP</t>
  </si>
  <si>
    <r>
      <t>A</t>
    </r>
    <r>
      <rPr>
        <sz val="12"/>
        <color indexed="48"/>
        <rFont val="Lucida Casual"/>
        <family val="4"/>
      </rPr>
      <t xml:space="preserve">LTERNATIVA DE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OLUCIÓN - INGENIERÍA DEL PROYECTO</t>
    </r>
  </si>
  <si>
    <t>Financiamiento Externo</t>
  </si>
  <si>
    <r>
      <t>P</t>
    </r>
    <r>
      <rPr>
        <sz val="11"/>
        <color indexed="48"/>
        <rFont val="Lucida Casual"/>
        <family val="4"/>
      </rPr>
      <t xml:space="preserve">ROYECTO DE </t>
    </r>
    <r>
      <rPr>
        <sz val="14"/>
        <color indexed="10"/>
        <rFont val="Lucida Casual"/>
        <family val="4"/>
      </rPr>
      <t>G</t>
    </r>
    <r>
      <rPr>
        <sz val="11"/>
        <color indexed="48"/>
        <rFont val="Lucida Casual"/>
        <family val="4"/>
      </rPr>
      <t>ENERACIÓN:</t>
    </r>
  </si>
  <si>
    <r>
      <t>P</t>
    </r>
    <r>
      <rPr>
        <sz val="11"/>
        <color indexed="48"/>
        <rFont val="Lucida Casual"/>
        <family val="4"/>
      </rPr>
      <t xml:space="preserve">ROYECTO DE </t>
    </r>
    <r>
      <rPr>
        <sz val="14"/>
        <color indexed="10"/>
        <rFont val="Lucida Casual"/>
        <family val="4"/>
      </rPr>
      <t>E</t>
    </r>
    <r>
      <rPr>
        <sz val="11"/>
        <color indexed="48"/>
        <rFont val="Lucida Casual"/>
        <family val="4"/>
      </rPr>
      <t xml:space="preserve">XTENSIÓN DE </t>
    </r>
    <r>
      <rPr>
        <sz val="14"/>
        <color indexed="10"/>
        <rFont val="Lucida Casual"/>
        <family val="4"/>
      </rPr>
      <t>R</t>
    </r>
    <r>
      <rPr>
        <sz val="11"/>
        <color indexed="48"/>
        <rFont val="Lucida Casual"/>
        <family val="4"/>
      </rPr>
      <t>EDES:</t>
    </r>
  </si>
  <si>
    <t>Inversión / kWh de Potencia</t>
  </si>
  <si>
    <t>Costo de Inversión / Familia</t>
  </si>
</sst>
</file>

<file path=xl/styles.xml><?xml version="1.0" encoding="utf-8"?>
<styleSheet xmlns="http://schemas.openxmlformats.org/spreadsheetml/2006/main">
  <numFmts count="52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&quot;Bs&quot;\ * #,##0.00_ ;_ &quot;Bs&quot;\ * \-#,##0.00_ ;_ &quot;Bs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_(&quot;C$&quot;* #,##0_);_(&quot;C$&quot;* \(#,##0\);_(&quot;C$&quot;* &quot;-&quot;_);_(@_)"/>
    <numFmt numFmtId="205" formatCode="_(&quot;C$&quot;* #,##0.00_);_(&quot;C$&quot;* \(#,##0.00\);_(&quot;C$&quot;* &quot;-&quot;??_);_(@_)"/>
    <numFmt numFmtId="206" formatCode="&quot;$&quot;#,##0.00"/>
    <numFmt numFmtId="207" formatCode="&quot;$&quot;#,##0"/>
  </numFmts>
  <fonts count="53">
    <font>
      <sz val="10"/>
      <name val="Arial"/>
      <family val="0"/>
    </font>
    <font>
      <b/>
      <sz val="16"/>
      <name val="Arial"/>
      <family val="2"/>
    </font>
    <font>
      <sz val="13"/>
      <color indexed="12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6"/>
      <color indexed="10"/>
      <name val="Lucida Casual"/>
      <family val="4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14"/>
      <color indexed="12"/>
      <name val="Lucida Casual"/>
      <family val="4"/>
    </font>
    <font>
      <sz val="12"/>
      <color indexed="12"/>
      <name val="Lucida Casual"/>
      <family val="4"/>
    </font>
    <font>
      <b/>
      <sz val="10"/>
      <color indexed="21"/>
      <name val="Lucida Casual"/>
      <family val="4"/>
    </font>
    <font>
      <sz val="14"/>
      <color indexed="10"/>
      <name val="Arial"/>
      <family val="2"/>
    </font>
    <font>
      <sz val="10"/>
      <color indexed="48"/>
      <name val="Lucida Casual"/>
      <family val="4"/>
    </font>
    <font>
      <sz val="10"/>
      <color indexed="12"/>
      <name val="Lucida Casual"/>
      <family val="4"/>
    </font>
    <font>
      <sz val="14"/>
      <color indexed="10"/>
      <name val="Lucida Casual"/>
      <family val="4"/>
    </font>
    <font>
      <sz val="12"/>
      <color indexed="48"/>
      <name val="Lucida Casual"/>
      <family val="4"/>
    </font>
    <font>
      <sz val="10"/>
      <name val="Lucida Casual"/>
      <family val="4"/>
    </font>
    <font>
      <sz val="12"/>
      <color indexed="10"/>
      <name val="Lucida Casual"/>
      <family val="4"/>
    </font>
    <font>
      <sz val="14"/>
      <color indexed="48"/>
      <name val="Lucida Casual"/>
      <family val="4"/>
    </font>
    <font>
      <sz val="18"/>
      <color indexed="10"/>
      <name val="Lucida Casual"/>
      <family val="4"/>
    </font>
    <font>
      <sz val="10"/>
      <color indexed="10"/>
      <name val="Lucida Casual"/>
      <family val="4"/>
    </font>
    <font>
      <sz val="10"/>
      <color indexed="10"/>
      <name val="Arial"/>
      <family val="2"/>
    </font>
    <font>
      <sz val="9"/>
      <color indexed="10"/>
      <name val="Lucida Casual"/>
      <family val="4"/>
    </font>
    <font>
      <sz val="8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Lucida Casual"/>
      <family val="4"/>
    </font>
    <font>
      <sz val="8"/>
      <color indexed="12"/>
      <name val="Lucida Casual"/>
      <family val="4"/>
    </font>
    <font>
      <sz val="8"/>
      <color indexed="48"/>
      <name val="Lucida Casual"/>
      <family val="4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11"/>
      <color indexed="10"/>
      <name val="Arial"/>
      <family val="2"/>
    </font>
    <font>
      <sz val="11"/>
      <color indexed="12"/>
      <name val="Lucida Casual"/>
      <family val="4"/>
    </font>
    <font>
      <sz val="10"/>
      <color indexed="42"/>
      <name val="Arial"/>
      <family val="2"/>
    </font>
    <font>
      <sz val="18"/>
      <color indexed="10"/>
      <name val="Arial"/>
      <family val="2"/>
    </font>
    <font>
      <sz val="9"/>
      <name val="Tahoma"/>
      <family val="0"/>
    </font>
    <font>
      <b/>
      <sz val="10"/>
      <color indexed="4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9"/>
      <name val="Tahoma"/>
      <family val="0"/>
    </font>
    <font>
      <sz val="10"/>
      <color indexed="27"/>
      <name val="Arial"/>
      <family val="0"/>
    </font>
    <font>
      <sz val="20"/>
      <color indexed="10"/>
      <name val="Arial"/>
      <family val="0"/>
    </font>
    <font>
      <b/>
      <sz val="8"/>
      <name val="Arial"/>
      <family val="2"/>
    </font>
    <font>
      <sz val="11"/>
      <color indexed="48"/>
      <name val="Lucida Casual"/>
      <family val="4"/>
    </font>
  </fonts>
  <fills count="1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22"/>
      </patternFill>
    </fill>
    <fill>
      <patternFill patternType="lightGray">
        <f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9"/>
        <bgColor indexed="41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</cellStyleXfs>
  <cellXfs count="4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/>
      <protection hidden="1"/>
    </xf>
    <xf numFmtId="0" fontId="7" fillId="0" borderId="0" xfId="15" applyAlignment="1">
      <alignment/>
    </xf>
    <xf numFmtId="0" fontId="12" fillId="0" borderId="0" xfId="25">
      <alignment/>
      <protection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17">
      <alignment/>
      <protection/>
    </xf>
    <xf numFmtId="0" fontId="13" fillId="0" borderId="0" xfId="18">
      <alignment/>
      <protection/>
    </xf>
    <xf numFmtId="0" fontId="2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5" fillId="2" borderId="0" xfId="0" applyFont="1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4" fillId="4" borderId="9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/>
      <protection/>
    </xf>
    <xf numFmtId="0" fontId="0" fillId="4" borderId="0" xfId="0" applyFill="1" applyAlignment="1">
      <alignment/>
    </xf>
    <xf numFmtId="0" fontId="19" fillId="4" borderId="0" xfId="0" applyFont="1" applyFill="1" applyAlignment="1">
      <alignment/>
    </xf>
    <xf numFmtId="0" fontId="0" fillId="6" borderId="1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 horizontal="right"/>
      <protection/>
    </xf>
    <xf numFmtId="0" fontId="0" fillId="4" borderId="11" xfId="0" applyFill="1" applyBorder="1" applyAlignment="1" applyProtection="1">
      <alignment horizontal="right"/>
      <protection/>
    </xf>
    <xf numFmtId="0" fontId="0" fillId="7" borderId="1" xfId="0" applyFill="1" applyBorder="1" applyAlignment="1" applyProtection="1">
      <alignment/>
      <protection/>
    </xf>
    <xf numFmtId="0" fontId="4" fillId="4" borderId="9" xfId="0" applyFont="1" applyFill="1" applyBorder="1" applyAlignment="1" applyProtection="1">
      <alignment horizontal="left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4" fillId="4" borderId="10" xfId="0" applyFont="1" applyFill="1" applyBorder="1" applyAlignment="1" applyProtection="1">
      <alignment horizontal="left"/>
      <protection/>
    </xf>
    <xf numFmtId="0" fontId="37" fillId="0" borderId="0" xfId="0" applyFont="1" applyAlignment="1">
      <alignment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4" borderId="1" xfId="0" applyFill="1" applyBorder="1" applyAlignment="1" applyProtection="1">
      <alignment horizontal="left" vertical="center" wrapText="1"/>
      <protection/>
    </xf>
    <xf numFmtId="0" fontId="0" fillId="6" borderId="1" xfId="0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right"/>
      <protection/>
    </xf>
    <xf numFmtId="10" fontId="0" fillId="0" borderId="1" xfId="0" applyNumberFormat="1" applyBorder="1" applyAlignment="1" applyProtection="1">
      <alignment/>
      <protection locked="0"/>
    </xf>
    <xf numFmtId="10" fontId="0" fillId="7" borderId="1" xfId="0" applyNumberFormat="1" applyFill="1" applyBorder="1" applyAlignment="1" applyProtection="1">
      <alignment/>
      <protection/>
    </xf>
    <xf numFmtId="0" fontId="39" fillId="4" borderId="16" xfId="0" applyFont="1" applyFill="1" applyBorder="1" applyAlignment="1" applyProtection="1">
      <alignment/>
      <protection hidden="1" locked="0"/>
    </xf>
    <xf numFmtId="0" fontId="39" fillId="4" borderId="17" xfId="0" applyFont="1" applyFill="1" applyBorder="1" applyAlignment="1" applyProtection="1">
      <alignment wrapText="1"/>
      <protection hidden="1" locked="0"/>
    </xf>
    <xf numFmtId="0" fontId="39" fillId="4" borderId="18" xfId="0" applyFont="1" applyFill="1" applyBorder="1" applyAlignment="1" applyProtection="1">
      <alignment wrapText="1"/>
      <protection hidden="1" locked="0"/>
    </xf>
    <xf numFmtId="0" fontId="39" fillId="4" borderId="0" xfId="0" applyFont="1" applyFill="1" applyBorder="1" applyAlignment="1" applyProtection="1">
      <alignment/>
      <protection hidden="1" locked="0"/>
    </xf>
    <xf numFmtId="0" fontId="39" fillId="4" borderId="19" xfId="0" applyFont="1" applyFill="1" applyBorder="1" applyAlignment="1" applyProtection="1">
      <alignment wrapText="1"/>
      <protection hidden="1" locked="0"/>
    </xf>
    <xf numFmtId="0" fontId="39" fillId="4" borderId="20" xfId="0" applyFont="1" applyFill="1" applyBorder="1" applyAlignment="1" applyProtection="1">
      <alignment wrapText="1"/>
      <protection hidden="1" locked="0"/>
    </xf>
    <xf numFmtId="0" fontId="39" fillId="4" borderId="19" xfId="0" applyFont="1" applyFill="1" applyBorder="1" applyAlignment="1" applyProtection="1">
      <alignment/>
      <protection hidden="1" locked="0"/>
    </xf>
    <xf numFmtId="0" fontId="39" fillId="4" borderId="20" xfId="0" applyFont="1" applyFill="1" applyBorder="1" applyAlignment="1" applyProtection="1">
      <alignment/>
      <protection hidden="1" locked="0"/>
    </xf>
    <xf numFmtId="0" fontId="39" fillId="4" borderId="21" xfId="0" applyFont="1" applyFill="1" applyBorder="1" applyAlignment="1" applyProtection="1">
      <alignment/>
      <protection hidden="1" locked="0"/>
    </xf>
    <xf numFmtId="0" fontId="39" fillId="4" borderId="22" xfId="0" applyFont="1" applyFill="1" applyBorder="1" applyAlignment="1" applyProtection="1">
      <alignment/>
      <protection hidden="1" locked="0"/>
    </xf>
    <xf numFmtId="0" fontId="39" fillId="4" borderId="23" xfId="0" applyFont="1" applyFill="1" applyBorder="1" applyAlignment="1" applyProtection="1">
      <alignment/>
      <protection hidden="1" locked="0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4" borderId="24" xfId="0" applyFont="1" applyFill="1" applyBorder="1" applyAlignment="1" applyProtection="1">
      <alignment horizontal="center" vertical="center"/>
      <protection/>
    </xf>
    <xf numFmtId="0" fontId="43" fillId="0" borderId="24" xfId="0" applyFont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/>
    </xf>
    <xf numFmtId="0" fontId="0" fillId="5" borderId="11" xfId="0" applyFill="1" applyBorder="1" applyAlignment="1" applyProtection="1">
      <alignment horizontal="center" vertical="center"/>
      <protection/>
    </xf>
    <xf numFmtId="0" fontId="43" fillId="4" borderId="25" xfId="0" applyFont="1" applyFill="1" applyBorder="1" applyAlignment="1" applyProtection="1">
      <alignment horizontal="center" vertical="center"/>
      <protection/>
    </xf>
    <xf numFmtId="0" fontId="43" fillId="4" borderId="26" xfId="0" applyFont="1" applyFill="1" applyBorder="1" applyAlignment="1" applyProtection="1">
      <alignment horizontal="center" vertical="center"/>
      <protection/>
    </xf>
    <xf numFmtId="0" fontId="43" fillId="4" borderId="27" xfId="0" applyFont="1" applyFill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7" fillId="2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5" borderId="1" xfId="0" applyFill="1" applyBorder="1" applyAlignment="1" applyProtection="1">
      <alignment vertical="center"/>
      <protection locked="0"/>
    </xf>
    <xf numFmtId="0" fontId="43" fillId="4" borderId="32" xfId="0" applyFont="1" applyFill="1" applyBorder="1" applyAlignment="1" applyProtection="1">
      <alignment horizontal="center" vertical="center"/>
      <protection/>
    </xf>
    <xf numFmtId="3" fontId="0" fillId="5" borderId="1" xfId="0" applyNumberFormat="1" applyFill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3" fontId="0" fillId="8" borderId="1" xfId="0" applyNumberFormat="1" applyFill="1" applyBorder="1" applyAlignment="1" applyProtection="1">
      <alignment/>
      <protection/>
    </xf>
    <xf numFmtId="3" fontId="0" fillId="6" borderId="1" xfId="0" applyNumberFormat="1" applyFill="1" applyBorder="1" applyAlignment="1" applyProtection="1">
      <alignment/>
      <protection/>
    </xf>
    <xf numFmtId="3" fontId="0" fillId="6" borderId="1" xfId="0" applyNumberFormat="1" applyFill="1" applyBorder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9" fontId="0" fillId="0" borderId="0" xfId="0" applyNumberFormat="1" applyAlignment="1" applyProtection="1">
      <alignment vertical="center"/>
      <protection locked="0"/>
    </xf>
    <xf numFmtId="0" fontId="0" fillId="6" borderId="33" xfId="0" applyFill="1" applyBorder="1" applyAlignment="1">
      <alignment/>
    </xf>
    <xf numFmtId="0" fontId="0" fillId="4" borderId="25" xfId="0" applyFill="1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4" borderId="32" xfId="0" applyFill="1" applyBorder="1" applyAlignment="1">
      <alignment vertical="center" wrapText="1"/>
    </xf>
    <xf numFmtId="0" fontId="4" fillId="4" borderId="34" xfId="0" applyFont="1" applyFill="1" applyBorder="1" applyAlignment="1">
      <alignment horizontal="right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3" fillId="7" borderId="38" xfId="0" applyFont="1" applyFill="1" applyBorder="1" applyAlignment="1" applyProtection="1">
      <alignment horizontal="center" vertical="center" wrapText="1"/>
      <protection/>
    </xf>
    <xf numFmtId="0" fontId="43" fillId="7" borderId="33" xfId="0" applyFont="1" applyFill="1" applyBorder="1" applyAlignment="1" applyProtection="1">
      <alignment horizontal="center" vertical="center" wrapText="1"/>
      <protection/>
    </xf>
    <xf numFmtId="0" fontId="43" fillId="7" borderId="39" xfId="0" applyFont="1" applyFill="1" applyBorder="1" applyAlignment="1" applyProtection="1">
      <alignment horizontal="center" vertical="center" wrapText="1"/>
      <protection/>
    </xf>
    <xf numFmtId="0" fontId="43" fillId="7" borderId="24" xfId="0" applyFont="1" applyFill="1" applyBorder="1" applyAlignment="1">
      <alignment/>
    </xf>
    <xf numFmtId="0" fontId="43" fillId="7" borderId="30" xfId="0" applyFont="1" applyFill="1" applyBorder="1" applyAlignment="1" applyProtection="1">
      <alignment horizontal="center" vertical="center" wrapText="1"/>
      <protection locked="0"/>
    </xf>
    <xf numFmtId="0" fontId="43" fillId="7" borderId="24" xfId="0" applyFont="1" applyFill="1" applyBorder="1" applyAlignment="1" applyProtection="1">
      <alignment horizontal="center" vertical="center" wrapText="1"/>
      <protection locked="0"/>
    </xf>
    <xf numFmtId="0" fontId="43" fillId="7" borderId="31" xfId="0" applyFont="1" applyFill="1" applyBorder="1" applyAlignment="1" applyProtection="1">
      <alignment horizontal="center" vertical="center" wrapText="1"/>
      <protection locked="0"/>
    </xf>
    <xf numFmtId="3" fontId="0" fillId="5" borderId="1" xfId="0" applyNumberFormat="1" applyFill="1" applyBorder="1" applyAlignment="1" applyProtection="1" quotePrefix="1">
      <alignment/>
      <protection/>
    </xf>
    <xf numFmtId="0" fontId="22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28" fillId="9" borderId="24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10" borderId="24" xfId="0" applyFont="1" applyFill="1" applyBorder="1" applyAlignment="1">
      <alignment horizontal="center" vertical="center" wrapText="1"/>
    </xf>
    <xf numFmtId="4" fontId="28" fillId="6" borderId="24" xfId="0" applyNumberFormat="1" applyFont="1" applyFill="1" applyBorder="1" applyAlignment="1">
      <alignment/>
    </xf>
    <xf numFmtId="0" fontId="28" fillId="4" borderId="24" xfId="0" applyFont="1" applyFill="1" applyBorder="1" applyAlignment="1">
      <alignment/>
    </xf>
    <xf numFmtId="10" fontId="28" fillId="0" borderId="24" xfId="0" applyNumberFormat="1" applyFont="1" applyBorder="1" applyAlignment="1" applyProtection="1">
      <alignment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 wrapText="1"/>
    </xf>
    <xf numFmtId="4" fontId="28" fillId="4" borderId="24" xfId="0" applyNumberFormat="1" applyFont="1" applyFill="1" applyBorder="1" applyAlignment="1">
      <alignment horizontal="right"/>
    </xf>
    <xf numFmtId="9" fontId="28" fillId="0" borderId="24" xfId="0" applyNumberFormat="1" applyFont="1" applyBorder="1" applyAlignment="1" applyProtection="1">
      <alignment/>
      <protection locked="0"/>
    </xf>
    <xf numFmtId="10" fontId="28" fillId="6" borderId="24" xfId="0" applyNumberFormat="1" applyFont="1" applyFill="1" applyBorder="1" applyAlignment="1">
      <alignment/>
    </xf>
    <xf numFmtId="3" fontId="0" fillId="11" borderId="1" xfId="0" applyNumberFormat="1" applyFill="1" applyBorder="1" applyAlignment="1">
      <alignment/>
    </xf>
    <xf numFmtId="0" fontId="28" fillId="4" borderId="31" xfId="0" applyFont="1" applyFill="1" applyBorder="1" applyAlignment="1">
      <alignment horizontal="center" vertical="center"/>
    </xf>
    <xf numFmtId="10" fontId="0" fillId="6" borderId="1" xfId="0" applyNumberFormat="1" applyFill="1" applyBorder="1" applyAlignment="1" applyProtection="1">
      <alignment/>
      <protection/>
    </xf>
    <xf numFmtId="10" fontId="0" fillId="6" borderId="1" xfId="0" applyNumberFormat="1" applyFill="1" applyBorder="1" applyAlignment="1">
      <alignment/>
    </xf>
    <xf numFmtId="10" fontId="6" fillId="0" borderId="0" xfId="0" applyNumberFormat="1" applyFont="1" applyAlignment="1">
      <alignment/>
    </xf>
    <xf numFmtId="0" fontId="28" fillId="4" borderId="24" xfId="0" applyFont="1" applyFill="1" applyBorder="1" applyAlignment="1">
      <alignment horizontal="center"/>
    </xf>
    <xf numFmtId="0" fontId="42" fillId="4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" fontId="28" fillId="9" borderId="24" xfId="0" applyNumberFormat="1" applyFont="1" applyFill="1" applyBorder="1" applyAlignment="1">
      <alignment horizontal="center" vertical="center"/>
    </xf>
    <xf numFmtId="3" fontId="28" fillId="12" borderId="24" xfId="0" applyNumberFormat="1" applyFont="1" applyFill="1" applyBorder="1" applyAlignment="1">
      <alignment horizontal="center" vertical="center"/>
    </xf>
    <xf numFmtId="4" fontId="0" fillId="0" borderId="0" xfId="0" applyNumberFormat="1" applyAlignment="1" applyProtection="1">
      <alignment/>
      <protection locked="0"/>
    </xf>
    <xf numFmtId="4" fontId="1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0" fontId="0" fillId="10" borderId="17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1" xfId="0" applyFill="1" applyBorder="1" applyAlignment="1">
      <alignment/>
    </xf>
    <xf numFmtId="0" fontId="50" fillId="10" borderId="0" xfId="0" applyFont="1" applyFill="1" applyBorder="1" applyAlignment="1">
      <alignment horizontal="center" vertical="center"/>
    </xf>
    <xf numFmtId="3" fontId="42" fillId="4" borderId="11" xfId="0" applyNumberFormat="1" applyFont="1" applyFill="1" applyBorder="1" applyAlignment="1" applyProtection="1">
      <alignment horizontal="left"/>
      <protection hidden="1"/>
    </xf>
    <xf numFmtId="0" fontId="50" fillId="10" borderId="23" xfId="0" applyFont="1" applyFill="1" applyBorder="1" applyAlignment="1">
      <alignment vertical="center"/>
    </xf>
    <xf numFmtId="0" fontId="26" fillId="10" borderId="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0" fillId="4" borderId="31" xfId="0" applyFill="1" applyBorder="1" applyAlignment="1" applyProtection="1">
      <alignment horizontal="center"/>
      <protection/>
    </xf>
    <xf numFmtId="0" fontId="0" fillId="4" borderId="30" xfId="0" applyFill="1" applyBorder="1" applyAlignment="1" applyProtection="1">
      <alignment horizontal="center"/>
      <protection/>
    </xf>
    <xf numFmtId="0" fontId="4" fillId="4" borderId="15" xfId="0" applyFont="1" applyFill="1" applyBorder="1" applyAlignment="1" applyProtection="1">
      <alignment horizontal="left"/>
      <protection/>
    </xf>
    <xf numFmtId="0" fontId="28" fillId="4" borderId="14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10" fontId="0" fillId="0" borderId="24" xfId="0" applyNumberFormat="1" applyBorder="1" applyAlignment="1" applyProtection="1">
      <alignment/>
      <protection locked="0"/>
    </xf>
    <xf numFmtId="3" fontId="0" fillId="4" borderId="23" xfId="0" applyNumberFormat="1" applyFill="1" applyBorder="1" applyAlignment="1" applyProtection="1">
      <alignment horizontal="right"/>
      <protection/>
    </xf>
    <xf numFmtId="3" fontId="0" fillId="4" borderId="24" xfId="0" applyNumberFormat="1" applyFill="1" applyBorder="1" applyAlignment="1" applyProtection="1">
      <alignment horizontal="right"/>
      <protection/>
    </xf>
    <xf numFmtId="0" fontId="0" fillId="10" borderId="24" xfId="0" applyFill="1" applyBorder="1" applyAlignment="1" applyProtection="1">
      <alignment/>
      <protection/>
    </xf>
    <xf numFmtId="4" fontId="0" fillId="0" borderId="1" xfId="0" applyNumberFormat="1" applyBorder="1" applyAlignment="1" applyProtection="1">
      <alignment/>
      <protection locked="0"/>
    </xf>
    <xf numFmtId="4" fontId="0" fillId="6" borderId="1" xfId="0" applyNumberFormat="1" applyFill="1" applyBorder="1" applyAlignment="1" applyProtection="1">
      <alignment/>
      <protection/>
    </xf>
    <xf numFmtId="4" fontId="0" fillId="6" borderId="1" xfId="0" applyNumberForma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4" borderId="11" xfId="0" applyFill="1" applyBorder="1" applyAlignment="1">
      <alignment/>
    </xf>
    <xf numFmtId="3" fontId="0" fillId="7" borderId="1" xfId="0" applyNumberFormat="1" applyFill="1" applyBorder="1" applyAlignment="1" applyProtection="1">
      <alignment/>
      <protection/>
    </xf>
    <xf numFmtId="0" fontId="28" fillId="4" borderId="9" xfId="0" applyFont="1" applyFill="1" applyBorder="1" applyAlignment="1" applyProtection="1">
      <alignment horizontal="left"/>
      <protection/>
    </xf>
    <xf numFmtId="0" fontId="28" fillId="10" borderId="24" xfId="0" applyFont="1" applyFill="1" applyBorder="1" applyAlignment="1">
      <alignment horizontal="center" vertical="center"/>
    </xf>
    <xf numFmtId="0" fontId="0" fillId="13" borderId="1" xfId="0" applyFill="1" applyBorder="1" applyAlignment="1" applyProtection="1">
      <alignment vertical="center"/>
      <protection locked="0"/>
    </xf>
    <xf numFmtId="16" fontId="28" fillId="10" borderId="24" xfId="0" applyNumberFormat="1" applyFont="1" applyFill="1" applyBorder="1" applyAlignment="1">
      <alignment horizontal="center" vertical="center"/>
    </xf>
    <xf numFmtId="0" fontId="43" fillId="4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" fontId="51" fillId="6" borderId="24" xfId="0" applyNumberFormat="1" applyFont="1" applyFill="1" applyBorder="1" applyAlignment="1">
      <alignment/>
    </xf>
    <xf numFmtId="0" fontId="43" fillId="4" borderId="40" xfId="0" applyFont="1" applyFill="1" applyBorder="1" applyAlignment="1" applyProtection="1">
      <alignment horizontal="center" vertical="center" wrapText="1"/>
      <protection/>
    </xf>
    <xf numFmtId="0" fontId="43" fillId="4" borderId="41" xfId="0" applyFont="1" applyFill="1" applyBorder="1" applyAlignment="1" applyProtection="1">
      <alignment horizontal="center" vertical="center" wrapText="1"/>
      <protection/>
    </xf>
    <xf numFmtId="0" fontId="43" fillId="4" borderId="42" xfId="0" applyFont="1" applyFill="1" applyBorder="1" applyAlignment="1" applyProtection="1">
      <alignment horizontal="center" vertical="center" wrapText="1"/>
      <protection/>
    </xf>
    <xf numFmtId="0" fontId="35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43" fillId="4" borderId="43" xfId="0" applyFont="1" applyFill="1" applyBorder="1" applyAlignment="1" applyProtection="1">
      <alignment horizontal="center" vertical="center" wrapText="1"/>
      <protection/>
    </xf>
    <xf numFmtId="0" fontId="43" fillId="4" borderId="44" xfId="0" applyFont="1" applyFill="1" applyBorder="1" applyAlignment="1" applyProtection="1">
      <alignment horizontal="center" vertical="center" wrapText="1"/>
      <protection/>
    </xf>
    <xf numFmtId="0" fontId="43" fillId="4" borderId="12" xfId="0" applyFont="1" applyFill="1" applyBorder="1" applyAlignment="1" applyProtection="1">
      <alignment horizontal="center" vertical="center" wrapText="1"/>
      <protection/>
    </xf>
    <xf numFmtId="0" fontId="35" fillId="0" borderId="18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0" fillId="4" borderId="15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47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24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51" fillId="4" borderId="14" xfId="0" applyFont="1" applyFill="1" applyBorder="1" applyAlignment="1" applyProtection="1">
      <alignment horizontal="right"/>
      <protection/>
    </xf>
    <xf numFmtId="0" fontId="51" fillId="4" borderId="15" xfId="0" applyFont="1" applyFill="1" applyBorder="1" applyAlignment="1" applyProtection="1">
      <alignment horizontal="right"/>
      <protection/>
    </xf>
    <xf numFmtId="0" fontId="28" fillId="10" borderId="24" xfId="0" applyFont="1" applyFill="1" applyBorder="1" applyAlignment="1">
      <alignment horizontal="center" vertical="center"/>
    </xf>
    <xf numFmtId="0" fontId="28" fillId="10" borderId="24" xfId="0" applyFont="1" applyFill="1" applyBorder="1" applyAlignment="1">
      <alignment horizontal="left"/>
    </xf>
    <xf numFmtId="0" fontId="28" fillId="10" borderId="31" xfId="0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/>
    </xf>
    <xf numFmtId="0" fontId="28" fillId="10" borderId="15" xfId="0" applyFont="1" applyFill="1" applyBorder="1" applyAlignment="1">
      <alignment horizontal="center" vertical="center"/>
    </xf>
    <xf numFmtId="0" fontId="28" fillId="10" borderId="31" xfId="0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>
      <alignment horizontal="right" vertical="center"/>
    </xf>
    <xf numFmtId="0" fontId="44" fillId="4" borderId="47" xfId="0" applyFont="1" applyFill="1" applyBorder="1" applyAlignment="1">
      <alignment horizontal="right" vertical="center"/>
    </xf>
    <xf numFmtId="0" fontId="44" fillId="4" borderId="15" xfId="0" applyFont="1" applyFill="1" applyBorder="1" applyAlignment="1">
      <alignment horizontal="right" vertical="center"/>
    </xf>
    <xf numFmtId="0" fontId="43" fillId="4" borderId="48" xfId="0" applyFont="1" applyFill="1" applyBorder="1" applyAlignment="1" applyProtection="1">
      <alignment horizontal="center" vertical="center" wrapText="1"/>
      <protection/>
    </xf>
    <xf numFmtId="0" fontId="43" fillId="4" borderId="49" xfId="0" applyFon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46" fillId="0" borderId="0" xfId="0" applyFont="1" applyBorder="1" applyAlignment="1" applyProtection="1">
      <alignment horizontal="center"/>
      <protection hidden="1"/>
    </xf>
    <xf numFmtId="0" fontId="43" fillId="4" borderId="24" xfId="0" applyFont="1" applyFill="1" applyBorder="1" applyAlignment="1" applyProtection="1">
      <alignment horizontal="center" vertical="center" wrapText="1"/>
      <protection/>
    </xf>
    <xf numFmtId="0" fontId="44" fillId="4" borderId="24" xfId="0" applyFont="1" applyFill="1" applyBorder="1" applyAlignment="1" applyProtection="1">
      <alignment horizontal="center" vertical="center" wrapText="1"/>
      <protection/>
    </xf>
    <xf numFmtId="0" fontId="43" fillId="7" borderId="30" xfId="0" applyFont="1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40" fillId="4" borderId="31" xfId="0" applyFont="1" applyFill="1" applyBorder="1" applyAlignment="1" applyProtection="1">
      <alignment horizontal="center" vertical="center" wrapText="1"/>
      <protection/>
    </xf>
    <xf numFmtId="0" fontId="40" fillId="4" borderId="30" xfId="0" applyFon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2" borderId="6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7" fillId="2" borderId="50" xfId="0" applyFont="1" applyFill="1" applyBorder="1" applyAlignment="1">
      <alignment horizontal="center"/>
    </xf>
    <xf numFmtId="0" fontId="27" fillId="2" borderId="51" xfId="0" applyFont="1" applyFill="1" applyBorder="1" applyAlignment="1">
      <alignment horizontal="center"/>
    </xf>
    <xf numFmtId="0" fontId="27" fillId="2" borderId="52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0" fillId="4" borderId="24" xfId="0" applyFill="1" applyBorder="1" applyAlignment="1">
      <alignment horizontal="center"/>
    </xf>
    <xf numFmtId="0" fontId="43" fillId="7" borderId="14" xfId="0" applyFont="1" applyFill="1" applyBorder="1" applyAlignment="1" applyProtection="1">
      <alignment horizontal="center" vertical="center" wrapText="1"/>
      <protection/>
    </xf>
    <xf numFmtId="0" fontId="43" fillId="7" borderId="47" xfId="0" applyFont="1" applyFill="1" applyBorder="1" applyAlignment="1" applyProtection="1">
      <alignment horizontal="center" vertical="center" wrapText="1"/>
      <protection/>
    </xf>
    <xf numFmtId="0" fontId="43" fillId="7" borderId="15" xfId="0" applyFont="1" applyFill="1" applyBorder="1" applyAlignment="1" applyProtection="1">
      <alignment horizontal="center" vertical="center" wrapText="1"/>
      <protection/>
    </xf>
    <xf numFmtId="0" fontId="43" fillId="0" borderId="28" xfId="0" applyFont="1" applyBorder="1" applyAlignment="1" applyProtection="1">
      <alignment horizontal="center" vertical="center" wrapText="1"/>
      <protection locked="0"/>
    </xf>
    <xf numFmtId="0" fontId="43" fillId="7" borderId="24" xfId="0" applyFont="1" applyFill="1" applyBorder="1" applyAlignment="1" applyProtection="1">
      <alignment horizontal="center" vertical="center" wrapText="1"/>
      <protection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0" fillId="4" borderId="31" xfId="0" applyFill="1" applyBorder="1" applyAlignment="1">
      <alignment horizontal="center" wrapText="1"/>
    </xf>
    <xf numFmtId="0" fontId="0" fillId="4" borderId="30" xfId="0" applyFill="1" applyBorder="1" applyAlignment="1">
      <alignment horizontal="center" wrapText="1"/>
    </xf>
    <xf numFmtId="0" fontId="9" fillId="10" borderId="16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/>
    </xf>
    <xf numFmtId="0" fontId="22" fillId="10" borderId="0" xfId="0" applyFont="1" applyFill="1" applyBorder="1" applyAlignment="1">
      <alignment horizontal="center"/>
    </xf>
    <xf numFmtId="0" fontId="22" fillId="10" borderId="20" xfId="0" applyFont="1" applyFill="1" applyBorder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4" borderId="43" xfId="0" applyFill="1" applyBorder="1" applyAlignment="1" applyProtection="1">
      <alignment horizontal="center" vertical="center"/>
      <protection/>
    </xf>
    <xf numFmtId="0" fontId="0" fillId="4" borderId="44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4" borderId="53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 applyProtection="1">
      <alignment horizontal="center" vertical="center"/>
      <protection/>
    </xf>
    <xf numFmtId="0" fontId="0" fillId="4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 applyProtection="1">
      <alignment horizontal="center" vertical="center"/>
      <protection/>
    </xf>
    <xf numFmtId="0" fontId="0" fillId="4" borderId="9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 horizontal="left" vertical="center"/>
      <protection/>
    </xf>
    <xf numFmtId="0" fontId="0" fillId="4" borderId="10" xfId="0" applyFill="1" applyBorder="1" applyAlignment="1" applyProtection="1">
      <alignment horizontal="left" vertical="center"/>
      <protection/>
    </xf>
    <xf numFmtId="0" fontId="0" fillId="4" borderId="11" xfId="0" applyFill="1" applyBorder="1" applyAlignment="1" applyProtection="1">
      <alignment horizontal="left" vertical="center"/>
      <protection/>
    </xf>
    <xf numFmtId="0" fontId="0" fillId="4" borderId="1" xfId="0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9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0" fillId="4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5" borderId="31" xfId="0" applyFill="1" applyBorder="1" applyAlignment="1" applyProtection="1">
      <alignment horizontal="center" vertical="center"/>
      <protection/>
    </xf>
    <xf numFmtId="0" fontId="0" fillId="5" borderId="30" xfId="0" applyFill="1" applyBorder="1" applyAlignment="1" applyProtection="1">
      <alignment horizontal="center" vertical="center"/>
      <protection/>
    </xf>
    <xf numFmtId="0" fontId="28" fillId="4" borderId="9" xfId="0" applyFont="1" applyFill="1" applyBorder="1" applyAlignment="1" applyProtection="1">
      <alignment horizontal="left" vertical="center"/>
      <protection/>
    </xf>
    <xf numFmtId="0" fontId="28" fillId="4" borderId="10" xfId="0" applyFont="1" applyFill="1" applyBorder="1" applyAlignment="1" applyProtection="1">
      <alignment horizontal="left" vertical="center"/>
      <protection/>
    </xf>
    <xf numFmtId="0" fontId="28" fillId="4" borderId="11" xfId="0" applyFont="1" applyFill="1" applyBorder="1" applyAlignment="1" applyProtection="1">
      <alignment horizontal="left" vertical="center"/>
      <protection/>
    </xf>
    <xf numFmtId="0" fontId="0" fillId="4" borderId="9" xfId="0" applyFill="1" applyBorder="1" applyAlignment="1" applyProtection="1">
      <alignment horizontal="right"/>
      <protection/>
    </xf>
    <xf numFmtId="0" fontId="0" fillId="4" borderId="11" xfId="0" applyFill="1" applyBorder="1" applyAlignment="1" applyProtection="1">
      <alignment horizontal="right"/>
      <protection/>
    </xf>
    <xf numFmtId="0" fontId="28" fillId="4" borderId="9" xfId="0" applyFont="1" applyFill="1" applyBorder="1" applyAlignment="1" applyProtection="1">
      <alignment horizontal="left"/>
      <protection/>
    </xf>
    <xf numFmtId="0" fontId="28" fillId="4" borderId="11" xfId="0" applyFont="1" applyFill="1" applyBorder="1" applyAlignment="1" applyProtection="1">
      <alignment horizontal="left"/>
      <protection/>
    </xf>
    <xf numFmtId="0" fontId="0" fillId="4" borderId="9" xfId="0" applyFont="1" applyFill="1" applyBorder="1" applyAlignment="1" applyProtection="1">
      <alignment horizontal="left"/>
      <protection/>
    </xf>
    <xf numFmtId="0" fontId="0" fillId="4" borderId="11" xfId="0" applyFont="1" applyFill="1" applyBorder="1" applyAlignment="1" applyProtection="1">
      <alignment horizontal="left"/>
      <protection/>
    </xf>
    <xf numFmtId="0" fontId="0" fillId="4" borderId="9" xfId="0" applyFont="1" applyFill="1" applyBorder="1" applyAlignment="1" applyProtection="1">
      <alignment horizontal="right"/>
      <protection/>
    </xf>
    <xf numFmtId="0" fontId="0" fillId="4" borderId="11" xfId="0" applyFont="1" applyFill="1" applyBorder="1" applyAlignment="1" applyProtection="1">
      <alignment horizontal="right"/>
      <protection/>
    </xf>
    <xf numFmtId="10" fontId="0" fillId="0" borderId="31" xfId="0" applyNumberFormat="1" applyBorder="1" applyAlignment="1" applyProtection="1">
      <alignment horizontal="center" vertical="center"/>
      <protection locked="0"/>
    </xf>
    <xf numFmtId="10" fontId="0" fillId="0" borderId="30" xfId="0" applyNumberFormat="1" applyBorder="1" applyAlignment="1" applyProtection="1">
      <alignment horizontal="center" vertical="center"/>
      <protection locked="0"/>
    </xf>
    <xf numFmtId="10" fontId="0" fillId="4" borderId="31" xfId="0" applyNumberFormat="1" applyFill="1" applyBorder="1" applyAlignment="1" applyProtection="1" quotePrefix="1">
      <alignment horizontal="center" vertical="center"/>
      <protection/>
    </xf>
    <xf numFmtId="10" fontId="0" fillId="4" borderId="30" xfId="0" applyNumberFormat="1" applyFill="1" applyBorder="1" applyAlignment="1" applyProtection="1">
      <alignment horizontal="center" vertical="center"/>
      <protection/>
    </xf>
    <xf numFmtId="0" fontId="4" fillId="4" borderId="31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10" xfId="0" applyFont="1" applyFill="1" applyBorder="1" applyAlignment="1" applyProtection="1">
      <alignment horizontal="right" vertical="center"/>
      <protection/>
    </xf>
    <xf numFmtId="0" fontId="4" fillId="4" borderId="11" xfId="0" applyFont="1" applyFill="1" applyBorder="1" applyAlignment="1" applyProtection="1">
      <alignment horizontal="right" vertical="center"/>
      <protection/>
    </xf>
    <xf numFmtId="0" fontId="4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49" fillId="4" borderId="9" xfId="0" applyFont="1" applyFill="1" applyBorder="1" applyAlignment="1" applyProtection="1">
      <alignment horizontal="right" vertical="center"/>
      <protection locked="0"/>
    </xf>
    <xf numFmtId="0" fontId="49" fillId="4" borderId="11" xfId="0" applyFont="1" applyFill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4" fillId="4" borderId="1" xfId="0" applyFont="1" applyFill="1" applyBorder="1" applyAlignment="1" applyProtection="1">
      <alignment horizontal="left"/>
      <protection/>
    </xf>
    <xf numFmtId="0" fontId="0" fillId="4" borderId="1" xfId="0" applyFill="1" applyBorder="1" applyAlignment="1">
      <alignment horizontal="left"/>
    </xf>
    <xf numFmtId="0" fontId="0" fillId="4" borderId="10" xfId="0" applyFill="1" applyBorder="1" applyAlignment="1" applyProtection="1">
      <alignment horizontal="left"/>
      <protection/>
    </xf>
    <xf numFmtId="0" fontId="0" fillId="4" borderId="11" xfId="0" applyFill="1" applyBorder="1" applyAlignment="1">
      <alignment horizontal="left"/>
    </xf>
    <xf numFmtId="0" fontId="0" fillId="4" borderId="1" xfId="0" applyFill="1" applyBorder="1" applyAlignment="1" applyProtection="1">
      <alignment horizontal="center" vertical="center"/>
      <protection/>
    </xf>
    <xf numFmtId="0" fontId="28" fillId="14" borderId="17" xfId="0" applyFont="1" applyFill="1" applyBorder="1" applyAlignment="1">
      <alignment horizontal="center" vertical="center" wrapText="1"/>
    </xf>
    <xf numFmtId="0" fontId="28" fillId="14" borderId="18" xfId="0" applyFont="1" applyFill="1" applyBorder="1" applyAlignment="1">
      <alignment horizontal="center" vertical="center" wrapText="1"/>
    </xf>
    <xf numFmtId="0" fontId="28" fillId="14" borderId="22" xfId="0" applyFont="1" applyFill="1" applyBorder="1" applyAlignment="1">
      <alignment horizontal="center" vertical="center" wrapText="1"/>
    </xf>
    <xf numFmtId="0" fontId="28" fillId="14" borderId="23" xfId="0" applyFont="1" applyFill="1" applyBorder="1" applyAlignment="1">
      <alignment horizontal="center" vertical="center" wrapText="1"/>
    </xf>
    <xf numFmtId="0" fontId="28" fillId="10" borderId="24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/>
    </xf>
    <xf numFmtId="0" fontId="51" fillId="4" borderId="24" xfId="0" applyFont="1" applyFill="1" applyBorder="1" applyAlignment="1">
      <alignment horizontal="left"/>
    </xf>
    <xf numFmtId="0" fontId="28" fillId="4" borderId="14" xfId="0" applyFont="1" applyFill="1" applyBorder="1" applyAlignment="1">
      <alignment horizontal="center"/>
    </xf>
    <xf numFmtId="0" fontId="28" fillId="4" borderId="47" xfId="0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8" fillId="4" borderId="24" xfId="0" applyFont="1" applyFill="1" applyBorder="1" applyAlignment="1">
      <alignment horizontal="left"/>
    </xf>
    <xf numFmtId="0" fontId="28" fillId="14" borderId="20" xfId="0" applyFont="1" applyFill="1" applyBorder="1" applyAlignment="1">
      <alignment horizontal="center" vertical="center" wrapText="1"/>
    </xf>
    <xf numFmtId="0" fontId="28" fillId="14" borderId="31" xfId="0" applyFont="1" applyFill="1" applyBorder="1" applyAlignment="1">
      <alignment horizontal="center" vertical="center" wrapText="1"/>
    </xf>
    <xf numFmtId="0" fontId="28" fillId="14" borderId="30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28" fillId="4" borderId="24" xfId="0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Indice 1" xfId="17"/>
    <cellStyle name="Indice 2" xfId="18"/>
    <cellStyle name="Comma" xfId="19"/>
    <cellStyle name="Comma [0]" xfId="20"/>
    <cellStyle name="Currency" xfId="21"/>
    <cellStyle name="Currency [0]" xfId="22"/>
    <cellStyle name="Percent" xfId="23"/>
    <cellStyle name="Subindice 1" xfId="24"/>
    <cellStyle name="Subindice 2" xfId="25"/>
  </cellStyles>
  <dxfs count="1">
    <dxf>
      <font>
        <strike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VALUACI&#211;N SOCIOECON&#211;MICA'!A1" /><Relationship Id="rId2" Type="http://schemas.openxmlformats.org/officeDocument/2006/relationships/hyperlink" Target="#INDICADORES!A1" /><Relationship Id="rId3" Type="http://schemas.openxmlformats.org/officeDocument/2006/relationships/hyperlink" Target="#FINANCIACI&#211;N!A1" /><Relationship Id="rId4" Type="http://schemas.openxmlformats.org/officeDocument/2006/relationships/hyperlink" Target="#PREPARACI&#211;N" /><Relationship Id="rId5" Type="http://schemas.openxmlformats.org/officeDocument/2006/relationships/hyperlink" Target="#'EVALUACI&#211;N PRIVADA'!A1" /><Relationship Id="rId6" Type="http://schemas.openxmlformats.org/officeDocument/2006/relationships/hyperlink" Target="#ALTERNATIVAS" /><Relationship Id="rId7" Type="http://schemas.openxmlformats.org/officeDocument/2006/relationships/hyperlink" Target="#'AN&#193;LISIS DE SENSIBILIDAD'!A1" /><Relationship Id="rId8" Type="http://schemas.openxmlformats.org/officeDocument/2006/relationships/image" Target="../media/image2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8.emf" /><Relationship Id="rId12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7.emf" /><Relationship Id="rId6" Type="http://schemas.openxmlformats.org/officeDocument/2006/relationships/image" Target="../media/image5.emf" /><Relationship Id="rId7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20.emf" /><Relationship Id="rId4" Type="http://schemas.openxmlformats.org/officeDocument/2006/relationships/image" Target="../media/image16.emf" /><Relationship Id="rId5" Type="http://schemas.openxmlformats.org/officeDocument/2006/relationships/image" Target="../media/image12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9.emf" /><Relationship Id="rId9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523875</xdr:colOff>
      <xdr:row>33</xdr:row>
      <xdr:rowOff>9525</xdr:rowOff>
    </xdr:to>
    <xdr:sp>
      <xdr:nvSpPr>
        <xdr:cNvPr id="1" name="TextBox 25"/>
        <xdr:cNvSpPr txBox="1">
          <a:spLocks noChangeArrowheads="1"/>
        </xdr:cNvSpPr>
      </xdr:nvSpPr>
      <xdr:spPr>
        <a:xfrm>
          <a:off x="19050" y="0"/>
          <a:ext cx="8124825" cy="535305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81A2A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14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EPÚBLICA DE </a:t>
          </a:r>
          <a:r>
            <a:rPr lang="en-US" cap="none" sz="16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B</a:t>
          </a:r>
          <a:r>
            <a:rPr lang="en-US" cap="none" sz="14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OLIVIA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H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ACIENDA
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ICEMINISTERIO DE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Y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F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INANCIAMIENTO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XTERNO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IRECCIÓN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ENERAL DE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-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U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NIDAD DE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DEL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9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CONÓMICO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ECTOR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NERGÍA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133350</xdr:colOff>
      <xdr:row>9</xdr:row>
      <xdr:rowOff>38100</xdr:rowOff>
    </xdr:from>
    <xdr:to>
      <xdr:col>3</xdr:col>
      <xdr:colOff>123825</xdr:colOff>
      <xdr:row>18</xdr:row>
      <xdr:rowOff>47625</xdr:rowOff>
    </xdr:to>
    <xdr:grpSp>
      <xdr:nvGrpSpPr>
        <xdr:cNvPr id="2" name="Group 227"/>
        <xdr:cNvGrpSpPr>
          <a:grpSpLocks/>
        </xdr:cNvGrpSpPr>
      </xdr:nvGrpSpPr>
      <xdr:grpSpPr>
        <a:xfrm>
          <a:off x="133350" y="1495425"/>
          <a:ext cx="2276475" cy="1466850"/>
          <a:chOff x="14" y="157"/>
          <a:chExt cx="239" cy="154"/>
        </a:xfrm>
        <a:solidFill>
          <a:srgbClr val="FFFFFF"/>
        </a:solidFill>
      </xdr:grpSpPr>
      <xdr:grpSp>
        <xdr:nvGrpSpPr>
          <xdr:cNvPr id="3" name="Group 220"/>
          <xdr:cNvGrpSpPr>
            <a:grpSpLocks/>
          </xdr:cNvGrpSpPr>
        </xdr:nvGrpSpPr>
        <xdr:grpSpPr>
          <a:xfrm>
            <a:off x="14" y="235"/>
            <a:ext cx="123" cy="38"/>
            <a:chOff x="14" y="235"/>
            <a:chExt cx="123" cy="38"/>
          </a:xfrm>
          <a:solidFill>
            <a:srgbClr val="FFFFFF"/>
          </a:solidFill>
        </xdr:grpSpPr>
        <xdr:sp>
          <xdr:nvSpPr>
            <xdr:cNvPr id="5" name="TextBox 79">
              <a:hlinkClick r:id="rId1"/>
            </xdr:cNvPr>
            <xdr:cNvSpPr txBox="1">
              <a:spLocks noChangeArrowheads="1"/>
            </xdr:cNvSpPr>
          </xdr:nvSpPr>
          <xdr:spPr>
            <a:xfrm>
              <a:off x="14" y="235"/>
              <a:ext cx="123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E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VALUACIÓN 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S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OCIOECONÓMICA        </a:t>
              </a:r>
            </a:p>
          </xdr:txBody>
        </xdr:sp>
      </xdr:grpSp>
      <xdr:grpSp>
        <xdr:nvGrpSpPr>
          <xdr:cNvPr id="6" name="Group 223"/>
          <xdr:cNvGrpSpPr>
            <a:grpSpLocks/>
          </xdr:cNvGrpSpPr>
        </xdr:nvGrpSpPr>
        <xdr:grpSpPr>
          <a:xfrm>
            <a:off x="136" y="157"/>
            <a:ext cx="117" cy="39"/>
            <a:chOff x="136" y="157"/>
            <a:chExt cx="117" cy="39"/>
          </a:xfrm>
          <a:solidFill>
            <a:srgbClr val="FFFFFF"/>
          </a:solidFill>
        </xdr:grpSpPr>
        <xdr:sp>
          <xdr:nvSpPr>
            <xdr:cNvPr id="8" name="TextBox 47">
              <a:hlinkClick r:id="rId2"/>
            </xdr:cNvPr>
            <xdr:cNvSpPr txBox="1">
              <a:spLocks noChangeArrowheads="1"/>
            </xdr:cNvSpPr>
          </xdr:nvSpPr>
          <xdr:spPr>
            <a:xfrm>
              <a:off x="151" y="166"/>
              <a:ext cx="102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I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NDICADORES</a:t>
              </a:r>
            </a:p>
          </xdr:txBody>
        </xdr:sp>
      </xdr:grpSp>
      <xdr:grpSp>
        <xdr:nvGrpSpPr>
          <xdr:cNvPr id="9" name="Group 219"/>
          <xdr:cNvGrpSpPr>
            <a:grpSpLocks/>
          </xdr:cNvGrpSpPr>
        </xdr:nvGrpSpPr>
        <xdr:grpSpPr>
          <a:xfrm>
            <a:off x="136" y="196"/>
            <a:ext cx="113" cy="38"/>
            <a:chOff x="136" y="196"/>
            <a:chExt cx="113" cy="38"/>
          </a:xfrm>
          <a:solidFill>
            <a:srgbClr val="FFFFFF"/>
          </a:solidFill>
        </xdr:grpSpPr>
        <xdr:sp>
          <xdr:nvSpPr>
            <xdr:cNvPr id="11" name="TextBox 48">
              <a:hlinkClick r:id="rId3"/>
            </xdr:cNvPr>
            <xdr:cNvSpPr txBox="1">
              <a:spLocks noChangeArrowheads="1"/>
            </xdr:cNvSpPr>
          </xdr:nvSpPr>
          <xdr:spPr>
            <a:xfrm>
              <a:off x="148" y="205"/>
              <a:ext cx="92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F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INANCIACIÓN</a:t>
              </a:r>
            </a:p>
          </xdr:txBody>
        </xdr:sp>
      </xdr:grpSp>
      <xdr:grpSp>
        <xdr:nvGrpSpPr>
          <xdr:cNvPr id="12" name="Group 224"/>
          <xdr:cNvGrpSpPr>
            <a:grpSpLocks/>
          </xdr:cNvGrpSpPr>
        </xdr:nvGrpSpPr>
        <xdr:grpSpPr>
          <a:xfrm>
            <a:off x="22" y="157"/>
            <a:ext cx="113" cy="38"/>
            <a:chOff x="22" y="157"/>
            <a:chExt cx="113" cy="38"/>
          </a:xfrm>
          <a:solidFill>
            <a:srgbClr val="FFFFFF"/>
          </a:solidFill>
        </xdr:grpSpPr>
        <xdr:sp>
          <xdr:nvSpPr>
            <xdr:cNvPr id="14" name="TextBox 27">
              <a:hlinkClick r:id="rId4"/>
            </xdr:cNvPr>
            <xdr:cNvSpPr txBox="1">
              <a:spLocks noChangeArrowheads="1"/>
            </xdr:cNvSpPr>
          </xdr:nvSpPr>
          <xdr:spPr>
            <a:xfrm>
              <a:off x="30" y="166"/>
              <a:ext cx="94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REPARACIÓN</a:t>
              </a:r>
            </a:p>
          </xdr:txBody>
        </xdr:sp>
      </xdr:grpSp>
      <xdr:grpSp>
        <xdr:nvGrpSpPr>
          <xdr:cNvPr id="15" name="Group 221"/>
          <xdr:cNvGrpSpPr>
            <a:grpSpLocks/>
          </xdr:cNvGrpSpPr>
        </xdr:nvGrpSpPr>
        <xdr:grpSpPr>
          <a:xfrm>
            <a:off x="22" y="273"/>
            <a:ext cx="113" cy="38"/>
            <a:chOff x="22" y="273"/>
            <a:chExt cx="113" cy="38"/>
          </a:xfrm>
          <a:solidFill>
            <a:srgbClr val="FFFFFF"/>
          </a:solidFill>
        </xdr:grpSpPr>
        <xdr:sp>
          <xdr:nvSpPr>
            <xdr:cNvPr id="17" name="TextBox 30">
              <a:hlinkClick r:id="rId5"/>
            </xdr:cNvPr>
            <xdr:cNvSpPr txBox="1">
              <a:spLocks noChangeArrowheads="1"/>
            </xdr:cNvSpPr>
          </xdr:nvSpPr>
          <xdr:spPr>
            <a:xfrm>
              <a:off x="31" y="273"/>
              <a:ext cx="92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E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VALUACIÓN 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RIVADA          </a:t>
              </a:r>
            </a:p>
          </xdr:txBody>
        </xdr:sp>
      </xdr:grpSp>
      <xdr:grpSp>
        <xdr:nvGrpSpPr>
          <xdr:cNvPr id="18" name="Group 218"/>
          <xdr:cNvGrpSpPr>
            <a:grpSpLocks/>
          </xdr:cNvGrpSpPr>
        </xdr:nvGrpSpPr>
        <xdr:grpSpPr>
          <a:xfrm>
            <a:off x="22" y="196"/>
            <a:ext cx="113" cy="38"/>
            <a:chOff x="22" y="196"/>
            <a:chExt cx="113" cy="38"/>
          </a:xfrm>
          <a:solidFill>
            <a:srgbClr val="FFFFFF"/>
          </a:solidFill>
        </xdr:grpSpPr>
        <xdr:sp>
          <xdr:nvSpPr>
            <xdr:cNvPr id="20" name="TextBox 46">
              <a:hlinkClick r:id="rId6"/>
            </xdr:cNvPr>
            <xdr:cNvSpPr txBox="1">
              <a:spLocks noChangeArrowheads="1"/>
            </xdr:cNvSpPr>
          </xdr:nvSpPr>
          <xdr:spPr>
            <a:xfrm>
              <a:off x="32" y="205"/>
              <a:ext cx="94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A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LTERNATIVAS</a:t>
              </a:r>
            </a:p>
          </xdr:txBody>
        </xdr:sp>
      </xdr:grpSp>
      <xdr:grpSp>
        <xdr:nvGrpSpPr>
          <xdr:cNvPr id="21" name="Group 225"/>
          <xdr:cNvGrpSpPr>
            <a:grpSpLocks/>
          </xdr:cNvGrpSpPr>
        </xdr:nvGrpSpPr>
        <xdr:grpSpPr>
          <a:xfrm>
            <a:off x="136" y="235"/>
            <a:ext cx="113" cy="38"/>
            <a:chOff x="136" y="235"/>
            <a:chExt cx="113" cy="38"/>
          </a:xfrm>
          <a:solidFill>
            <a:srgbClr val="FFFFFF"/>
          </a:solidFill>
        </xdr:grpSpPr>
        <xdr:sp>
          <xdr:nvSpPr>
            <xdr:cNvPr id="23" name="TextBox 37">
              <a:hlinkClick r:id="rId7"/>
            </xdr:cNvPr>
            <xdr:cNvSpPr txBox="1">
              <a:spLocks noChangeArrowheads="1"/>
            </xdr:cNvSpPr>
          </xdr:nvSpPr>
          <xdr:spPr>
            <a:xfrm>
              <a:off x="149" y="235"/>
              <a:ext cx="90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A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NÁLISIS DE 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S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ENSIBILIDAD</a:t>
              </a:r>
            </a:p>
          </xdr:txBody>
        </xdr:sp>
      </xdr:grpSp>
      <xdr:grpSp>
        <xdr:nvGrpSpPr>
          <xdr:cNvPr id="24" name="Group 226"/>
          <xdr:cNvGrpSpPr>
            <a:grpSpLocks/>
          </xdr:cNvGrpSpPr>
        </xdr:nvGrpSpPr>
        <xdr:grpSpPr>
          <a:xfrm>
            <a:off x="136" y="275"/>
            <a:ext cx="113" cy="35"/>
            <a:chOff x="136" y="275"/>
            <a:chExt cx="113" cy="35"/>
          </a:xfrm>
          <a:solidFill>
            <a:srgbClr val="FFFFFF"/>
          </a:solidFill>
        </xdr:grpSpPr>
        <xdr:sp>
          <xdr:nvSpPr>
            <xdr:cNvPr id="26" name="TextBox 185"/>
            <xdr:cNvSpPr txBox="1">
              <a:spLocks noChangeArrowheads="1"/>
            </xdr:cNvSpPr>
          </xdr:nvSpPr>
          <xdr:spPr>
            <a:xfrm>
              <a:off x="139" y="275"/>
              <a:ext cx="104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C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ONCLUSIONES</a:t>
              </a:r>
            </a:p>
          </xdr:txBody>
        </xdr:sp>
      </xdr:grpSp>
    </xdr:grpSp>
    <xdr:clientData/>
  </xdr:twoCellAnchor>
  <xdr:twoCellAnchor editAs="oneCell">
    <xdr:from>
      <xdr:col>23</xdr:col>
      <xdr:colOff>114300</xdr:colOff>
      <xdr:row>0</xdr:row>
      <xdr:rowOff>66675</xdr:rowOff>
    </xdr:from>
    <xdr:to>
      <xdr:col>24</xdr:col>
      <xdr:colOff>57150</xdr:colOff>
      <xdr:row>2</xdr:row>
      <xdr:rowOff>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640300" y="66675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581025</xdr:colOff>
      <xdr:row>21</xdr:row>
      <xdr:rowOff>0</xdr:rowOff>
    </xdr:from>
    <xdr:to>
      <xdr:col>3</xdr:col>
      <xdr:colOff>533400</xdr:colOff>
      <xdr:row>24</xdr:row>
      <xdr:rowOff>66675</xdr:rowOff>
    </xdr:to>
    <xdr:grpSp>
      <xdr:nvGrpSpPr>
        <xdr:cNvPr id="28" name="Group 216"/>
        <xdr:cNvGrpSpPr>
          <a:grpSpLocks/>
        </xdr:cNvGrpSpPr>
      </xdr:nvGrpSpPr>
      <xdr:grpSpPr>
        <a:xfrm>
          <a:off x="2105025" y="3400425"/>
          <a:ext cx="714375" cy="552450"/>
          <a:chOff x="226" y="358"/>
          <a:chExt cx="75" cy="58"/>
        </a:xfrm>
        <a:solidFill>
          <a:srgbClr val="FFFFFF"/>
        </a:solidFill>
      </xdr:grpSpPr>
      <xdr:sp>
        <xdr:nvSpPr>
          <xdr:cNvPr id="30" name="TextBox 147"/>
          <xdr:cNvSpPr txBox="1">
            <a:spLocks noChangeArrowheads="1"/>
          </xdr:cNvSpPr>
        </xdr:nvSpPr>
        <xdr:spPr>
          <a:xfrm>
            <a:off x="226" y="358"/>
            <a:ext cx="75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8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antalla </a:t>
            </a:r>
            <a:r>
              <a:rPr lang="en-US" cap="none" sz="8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C</a:t>
            </a:r>
            <a:r>
              <a:rPr lang="en-US" cap="none" sz="8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ompleta</a:t>
            </a:r>
          </a:p>
        </xdr:txBody>
      </xdr:sp>
    </xdr:grp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352425</xdr:colOff>
      <xdr:row>24</xdr:row>
      <xdr:rowOff>66675</xdr:rowOff>
    </xdr:to>
    <xdr:grpSp>
      <xdr:nvGrpSpPr>
        <xdr:cNvPr id="31" name="Group 217"/>
        <xdr:cNvGrpSpPr>
          <a:grpSpLocks/>
        </xdr:cNvGrpSpPr>
      </xdr:nvGrpSpPr>
      <xdr:grpSpPr>
        <a:xfrm>
          <a:off x="2790825" y="3400425"/>
          <a:ext cx="609600" cy="552450"/>
          <a:chOff x="297" y="358"/>
          <a:chExt cx="64" cy="58"/>
        </a:xfrm>
        <a:solidFill>
          <a:srgbClr val="FFFFFF"/>
        </a:solidFill>
      </xdr:grpSpPr>
      <xdr:sp>
        <xdr:nvSpPr>
          <xdr:cNvPr id="33" name="TextBox 154"/>
          <xdr:cNvSpPr txBox="1">
            <a:spLocks noChangeArrowheads="1"/>
          </xdr:cNvSpPr>
        </xdr:nvSpPr>
        <xdr:spPr>
          <a:xfrm>
            <a:off x="297" y="363"/>
            <a:ext cx="62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antalla </a:t>
            </a:r>
            <a:r>
              <a: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8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ormal</a:t>
            </a:r>
          </a:p>
        </xdr:txBody>
      </xdr:sp>
    </xdr:grpSp>
    <xdr:clientData/>
  </xdr:twoCellAnchor>
  <xdr:twoCellAnchor>
    <xdr:from>
      <xdr:col>0</xdr:col>
      <xdr:colOff>190500</xdr:colOff>
      <xdr:row>21</xdr:row>
      <xdr:rowOff>0</xdr:rowOff>
    </xdr:from>
    <xdr:to>
      <xdr:col>1</xdr:col>
      <xdr:colOff>95250</xdr:colOff>
      <xdr:row>24</xdr:row>
      <xdr:rowOff>76200</xdr:rowOff>
    </xdr:to>
    <xdr:pic>
      <xdr:nvPicPr>
        <xdr:cNvPr id="34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340042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21</xdr:row>
      <xdr:rowOff>0</xdr:rowOff>
    </xdr:from>
    <xdr:to>
      <xdr:col>1</xdr:col>
      <xdr:colOff>742950</xdr:colOff>
      <xdr:row>24</xdr:row>
      <xdr:rowOff>76200</xdr:rowOff>
    </xdr:to>
    <xdr:pic>
      <xdr:nvPicPr>
        <xdr:cNvPr id="35" name="Command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7725" y="340042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21</xdr:row>
      <xdr:rowOff>0</xdr:rowOff>
    </xdr:from>
    <xdr:to>
      <xdr:col>2</xdr:col>
      <xdr:colOff>628650</xdr:colOff>
      <xdr:row>24</xdr:row>
      <xdr:rowOff>76200</xdr:rowOff>
    </xdr:to>
    <xdr:pic>
      <xdr:nvPicPr>
        <xdr:cNvPr id="36" name="CommandButton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95425" y="340042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9525</xdr:rowOff>
    </xdr:from>
    <xdr:to>
      <xdr:col>9</xdr:col>
      <xdr:colOff>28575</xdr:colOff>
      <xdr:row>17</xdr:row>
      <xdr:rowOff>38100</xdr:rowOff>
    </xdr:to>
    <xdr:sp>
      <xdr:nvSpPr>
        <xdr:cNvPr id="37" name="TextBox 108"/>
        <xdr:cNvSpPr txBox="1">
          <a:spLocks noChangeArrowheads="1"/>
        </xdr:cNvSpPr>
      </xdr:nvSpPr>
      <xdr:spPr>
        <a:xfrm>
          <a:off x="3857625" y="1790700"/>
          <a:ext cx="30289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REPARACIÓN Y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VALUACIÓN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ROYECTOS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LECTRIFICACIÓN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URAL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10</xdr:col>
      <xdr:colOff>485775</xdr:colOff>
      <xdr:row>8</xdr:row>
      <xdr:rowOff>142875</xdr:rowOff>
    </xdr:to>
    <xdr:sp>
      <xdr:nvSpPr>
        <xdr:cNvPr id="38" name="Rectangle 49"/>
        <xdr:cNvSpPr>
          <a:spLocks/>
        </xdr:cNvSpPr>
      </xdr:nvSpPr>
      <xdr:spPr>
        <a:xfrm>
          <a:off x="57150" y="28575"/>
          <a:ext cx="8048625" cy="1409700"/>
        </a:xfrm>
        <a:prstGeom prst="rect">
          <a:avLst/>
        </a:prstGeom>
        <a:noFill/>
        <a:ln w="57150" cmpd="thickThin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114300</xdr:rowOff>
    </xdr:from>
    <xdr:to>
      <xdr:col>1</xdr:col>
      <xdr:colOff>266700</xdr:colOff>
      <xdr:row>5</xdr:row>
      <xdr:rowOff>95250</xdr:rowOff>
    </xdr:to>
    <xdr:pic>
      <xdr:nvPicPr>
        <xdr:cNvPr id="39" name="Picture 1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" y="1143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723900</xdr:colOff>
      <xdr:row>18</xdr:row>
      <xdr:rowOff>85725</xdr:rowOff>
    </xdr:from>
    <xdr:ext cx="1676400" cy="200025"/>
    <xdr:sp>
      <xdr:nvSpPr>
        <xdr:cNvPr id="40" name="TextBox 230"/>
        <xdr:cNvSpPr txBox="1">
          <a:spLocks noChangeArrowheads="1"/>
        </xdr:cNvSpPr>
      </xdr:nvSpPr>
      <xdr:spPr>
        <a:xfrm>
          <a:off x="4533900" y="3000375"/>
          <a:ext cx="1676400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Versión 2.2 - Diciembre 2007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38</xdr:row>
      <xdr:rowOff>9525</xdr:rowOff>
    </xdr:from>
    <xdr:ext cx="6924675" cy="600075"/>
    <xdr:sp fLocksText="0">
      <xdr:nvSpPr>
        <xdr:cNvPr id="1" name="TextBox 12"/>
        <xdr:cNvSpPr txBox="1">
          <a:spLocks noChangeArrowheads="1"/>
        </xdr:cNvSpPr>
      </xdr:nvSpPr>
      <xdr:spPr>
        <a:xfrm>
          <a:off x="57150" y="7410450"/>
          <a:ext cx="6924675" cy="600075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31</xdr:row>
      <xdr:rowOff>190500</xdr:rowOff>
    </xdr:from>
    <xdr:ext cx="6943725" cy="752475"/>
    <xdr:sp fLocksText="0">
      <xdr:nvSpPr>
        <xdr:cNvPr id="2" name="TextBox 13"/>
        <xdr:cNvSpPr txBox="1">
          <a:spLocks noChangeArrowheads="1"/>
        </xdr:cNvSpPr>
      </xdr:nvSpPr>
      <xdr:spPr>
        <a:xfrm>
          <a:off x="47625" y="6362700"/>
          <a:ext cx="6943725" cy="752475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25</xdr:row>
      <xdr:rowOff>9525</xdr:rowOff>
    </xdr:from>
    <xdr:ext cx="6905625" cy="828675"/>
    <xdr:sp fLocksText="0">
      <xdr:nvSpPr>
        <xdr:cNvPr id="3" name="TextBox 14"/>
        <xdr:cNvSpPr txBox="1">
          <a:spLocks noChangeArrowheads="1"/>
        </xdr:cNvSpPr>
      </xdr:nvSpPr>
      <xdr:spPr>
        <a:xfrm>
          <a:off x="76200" y="5210175"/>
          <a:ext cx="6905625" cy="828675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52</xdr:row>
      <xdr:rowOff>19050</xdr:rowOff>
    </xdr:from>
    <xdr:ext cx="6924675" cy="952500"/>
    <xdr:sp fLocksText="0">
      <xdr:nvSpPr>
        <xdr:cNvPr id="4" name="TextBox 18"/>
        <xdr:cNvSpPr txBox="1">
          <a:spLocks noChangeArrowheads="1"/>
        </xdr:cNvSpPr>
      </xdr:nvSpPr>
      <xdr:spPr>
        <a:xfrm>
          <a:off x="66675" y="9782175"/>
          <a:ext cx="6924675" cy="952500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</xdr:col>
      <xdr:colOff>0</xdr:colOff>
      <xdr:row>0</xdr:row>
      <xdr:rowOff>28575</xdr:rowOff>
    </xdr:from>
    <xdr:to>
      <xdr:col>11</xdr:col>
      <xdr:colOff>47625</xdr:colOff>
      <xdr:row>2</xdr:row>
      <xdr:rowOff>476250</xdr:rowOff>
    </xdr:to>
    <xdr:grpSp>
      <xdr:nvGrpSpPr>
        <xdr:cNvPr id="5" name="Group 139"/>
        <xdr:cNvGrpSpPr>
          <a:grpSpLocks/>
        </xdr:cNvGrpSpPr>
      </xdr:nvGrpSpPr>
      <xdr:grpSpPr>
        <a:xfrm>
          <a:off x="57150" y="28575"/>
          <a:ext cx="7010400" cy="790575"/>
          <a:chOff x="6" y="3"/>
          <a:chExt cx="736" cy="83"/>
        </a:xfrm>
        <a:solidFill>
          <a:srgbClr val="FFFFFF"/>
        </a:solidFill>
      </xdr:grpSpPr>
      <xdr:sp>
        <xdr:nvSpPr>
          <xdr:cNvPr id="6" name="TextBox 44"/>
          <xdr:cNvSpPr txBox="1">
            <a:spLocks noChangeArrowheads="1"/>
          </xdr:cNvSpPr>
        </xdr:nvSpPr>
        <xdr:spPr>
          <a:xfrm>
            <a:off x="6" y="3"/>
            <a:ext cx="736" cy="83"/>
          </a:xfrm>
          <a:prstGeom prst="rect">
            <a:avLst/>
          </a:prstGeom>
          <a:gradFill rotWithShape="1">
            <a:gsLst>
              <a:gs pos="0">
                <a:srgbClr val="CCFFFF"/>
              </a:gs>
              <a:gs pos="100000">
                <a:srgbClr val="5E7575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ELECTRIFICACIÓN RURAL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oneCellAnchor>
    <xdr:from>
      <xdr:col>1</xdr:col>
      <xdr:colOff>0</xdr:colOff>
      <xdr:row>44</xdr:row>
      <xdr:rowOff>9525</xdr:rowOff>
    </xdr:from>
    <xdr:ext cx="6924675" cy="942975"/>
    <xdr:sp fLocksText="0">
      <xdr:nvSpPr>
        <xdr:cNvPr id="16" name="TextBox 84"/>
        <xdr:cNvSpPr txBox="1">
          <a:spLocks noChangeArrowheads="1"/>
        </xdr:cNvSpPr>
      </xdr:nvSpPr>
      <xdr:spPr>
        <a:xfrm>
          <a:off x="57150" y="8448675"/>
          <a:ext cx="6924675" cy="942975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6924675" cy="800100"/>
    <xdr:sp fLocksText="0">
      <xdr:nvSpPr>
        <xdr:cNvPr id="17" name="TextBox 85"/>
        <xdr:cNvSpPr txBox="1">
          <a:spLocks noChangeArrowheads="1"/>
        </xdr:cNvSpPr>
      </xdr:nvSpPr>
      <xdr:spPr>
        <a:xfrm>
          <a:off x="57150" y="11087100"/>
          <a:ext cx="6924675" cy="800100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85725</xdr:colOff>
      <xdr:row>6</xdr:row>
      <xdr:rowOff>66675</xdr:rowOff>
    </xdr:from>
    <xdr:to>
      <xdr:col>10</xdr:col>
      <xdr:colOff>561975</xdr:colOff>
      <xdr:row>8</xdr:row>
      <xdr:rowOff>28575</xdr:rowOff>
    </xdr:to>
    <xdr:pic>
      <xdr:nvPicPr>
        <xdr:cNvPr id="18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62100"/>
          <a:ext cx="6677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76</xdr:row>
      <xdr:rowOff>9525</xdr:rowOff>
    </xdr:from>
    <xdr:ext cx="6896100" cy="971550"/>
    <xdr:sp fLocksText="0">
      <xdr:nvSpPr>
        <xdr:cNvPr id="19" name="TextBox 138"/>
        <xdr:cNvSpPr txBox="1">
          <a:spLocks noChangeArrowheads="1"/>
        </xdr:cNvSpPr>
      </xdr:nvSpPr>
      <xdr:spPr>
        <a:xfrm>
          <a:off x="66675" y="13944600"/>
          <a:ext cx="6896100" cy="971550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9</xdr:row>
      <xdr:rowOff>76200</xdr:rowOff>
    </xdr:from>
    <xdr:ext cx="628650" cy="352425"/>
    <xdr:grpSp>
      <xdr:nvGrpSpPr>
        <xdr:cNvPr id="20" name="boton"/>
        <xdr:cNvGrpSpPr>
          <a:grpSpLocks/>
        </xdr:cNvGrpSpPr>
      </xdr:nvGrpSpPr>
      <xdr:grpSpPr>
        <a:xfrm>
          <a:off x="6315075" y="2105025"/>
          <a:ext cx="628650" cy="352425"/>
          <a:chOff x="483" y="309"/>
          <a:chExt cx="66" cy="37"/>
        </a:xfrm>
        <a:solidFill>
          <a:srgbClr val="FFFFFF"/>
        </a:solidFill>
      </xdr:grpSpPr>
      <xdr:pic>
        <xdr:nvPicPr>
          <xdr:cNvPr id="21" name="TextBox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3" y="309"/>
            <a:ext cx="65" cy="3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" name="TextBox 142"/>
          <xdr:cNvSpPr txBox="1">
            <a:spLocks noChangeArrowheads="1"/>
          </xdr:cNvSpPr>
        </xdr:nvSpPr>
        <xdr:spPr>
          <a:xfrm>
            <a:off x="486" y="311"/>
            <a:ext cx="63" cy="3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Preparar Cuadros</a:t>
            </a:r>
          </a:p>
        </xdr:txBody>
      </xdr:sp>
    </xdr:grpSp>
    <xdr:clientData fPrintsWithSheet="0"/>
  </xdr:oneCellAnchor>
  <xdr:twoCellAnchor editAs="oneCell">
    <xdr:from>
      <xdr:col>7</xdr:col>
      <xdr:colOff>114300</xdr:colOff>
      <xdr:row>22</xdr:row>
      <xdr:rowOff>9525</xdr:rowOff>
    </xdr:from>
    <xdr:to>
      <xdr:col>8</xdr:col>
      <xdr:colOff>457200</xdr:colOff>
      <xdr:row>23</xdr:row>
      <xdr:rowOff>28575</xdr:rowOff>
    </xdr:to>
    <xdr:pic>
      <xdr:nvPicPr>
        <xdr:cNvPr id="2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4629150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19</xdr:row>
      <xdr:rowOff>152400</xdr:rowOff>
    </xdr:from>
    <xdr:to>
      <xdr:col>5</xdr:col>
      <xdr:colOff>504825</xdr:colOff>
      <xdr:row>21</xdr:row>
      <xdr:rowOff>19050</xdr:rowOff>
    </xdr:to>
    <xdr:pic>
      <xdr:nvPicPr>
        <xdr:cNvPr id="2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4057650"/>
          <a:ext cx="3124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19</xdr:row>
      <xdr:rowOff>0</xdr:rowOff>
    </xdr:from>
    <xdr:to>
      <xdr:col>8</xdr:col>
      <xdr:colOff>504825</xdr:colOff>
      <xdr:row>20</xdr:row>
      <xdr:rowOff>47625</xdr:rowOff>
    </xdr:to>
    <xdr:pic>
      <xdr:nvPicPr>
        <xdr:cNvPr id="2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390525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22</xdr:row>
      <xdr:rowOff>9525</xdr:rowOff>
    </xdr:from>
    <xdr:to>
      <xdr:col>10</xdr:col>
      <xdr:colOff>76200</xdr:colOff>
      <xdr:row>23</xdr:row>
      <xdr:rowOff>28575</xdr:rowOff>
    </xdr:to>
    <xdr:pic>
      <xdr:nvPicPr>
        <xdr:cNvPr id="2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4629150"/>
          <a:ext cx="942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21</xdr:row>
      <xdr:rowOff>333375</xdr:rowOff>
    </xdr:from>
    <xdr:to>
      <xdr:col>10</xdr:col>
      <xdr:colOff>523875</xdr:colOff>
      <xdr:row>23</xdr:row>
      <xdr:rowOff>38100</xdr:rowOff>
    </xdr:to>
    <xdr:sp>
      <xdr:nvSpPr>
        <xdr:cNvPr id="27" name="Rectangle 151"/>
        <xdr:cNvSpPr>
          <a:spLocks/>
        </xdr:cNvSpPr>
      </xdr:nvSpPr>
      <xdr:spPr>
        <a:xfrm>
          <a:off x="6515100" y="4600575"/>
          <a:ext cx="2667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266700</xdr:colOff>
      <xdr:row>19</xdr:row>
      <xdr:rowOff>0</xdr:rowOff>
    </xdr:from>
    <xdr:to>
      <xdr:col>10</xdr:col>
      <xdr:colOff>504825</xdr:colOff>
      <xdr:row>20</xdr:row>
      <xdr:rowOff>47625</xdr:rowOff>
    </xdr:to>
    <xdr:pic>
      <xdr:nvPicPr>
        <xdr:cNvPr id="28" name="Combo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38825" y="390525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21</xdr:row>
      <xdr:rowOff>19050</xdr:rowOff>
    </xdr:from>
    <xdr:to>
      <xdr:col>11</xdr:col>
      <xdr:colOff>0</xdr:colOff>
      <xdr:row>24</xdr:row>
      <xdr:rowOff>9525</xdr:rowOff>
    </xdr:to>
    <xdr:sp>
      <xdr:nvSpPr>
        <xdr:cNvPr id="29" name="Rectangle 153"/>
        <xdr:cNvSpPr>
          <a:spLocks/>
        </xdr:cNvSpPr>
      </xdr:nvSpPr>
      <xdr:spPr>
        <a:xfrm>
          <a:off x="4200525" y="4286250"/>
          <a:ext cx="28194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13</xdr:row>
      <xdr:rowOff>28575</xdr:rowOff>
    </xdr:from>
    <xdr:ext cx="6934200" cy="971550"/>
    <xdr:sp fLocksText="0">
      <xdr:nvSpPr>
        <xdr:cNvPr id="1" name="TextBox 14"/>
        <xdr:cNvSpPr txBox="1">
          <a:spLocks noChangeArrowheads="1"/>
        </xdr:cNvSpPr>
      </xdr:nvSpPr>
      <xdr:spPr>
        <a:xfrm>
          <a:off x="47625" y="2714625"/>
          <a:ext cx="6934200" cy="971550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6924675" cy="971550"/>
    <xdr:sp fLocksText="0">
      <xdr:nvSpPr>
        <xdr:cNvPr id="2" name="TextBox 15"/>
        <xdr:cNvSpPr txBox="1">
          <a:spLocks noChangeArrowheads="1"/>
        </xdr:cNvSpPr>
      </xdr:nvSpPr>
      <xdr:spPr>
        <a:xfrm>
          <a:off x="57150" y="1323975"/>
          <a:ext cx="6924675" cy="971550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9525</xdr:rowOff>
    </xdr:from>
    <xdr:ext cx="6934200" cy="971550"/>
    <xdr:sp fLocksText="0">
      <xdr:nvSpPr>
        <xdr:cNvPr id="3" name="TextBox 16"/>
        <xdr:cNvSpPr txBox="1">
          <a:spLocks noChangeArrowheads="1"/>
        </xdr:cNvSpPr>
      </xdr:nvSpPr>
      <xdr:spPr>
        <a:xfrm>
          <a:off x="57150" y="4057650"/>
          <a:ext cx="6934200" cy="971550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29</xdr:row>
      <xdr:rowOff>0</xdr:rowOff>
    </xdr:from>
    <xdr:ext cx="6953250" cy="971550"/>
    <xdr:sp fLocksText="0">
      <xdr:nvSpPr>
        <xdr:cNvPr id="4" name="TextBox 17"/>
        <xdr:cNvSpPr txBox="1">
          <a:spLocks noChangeArrowheads="1"/>
        </xdr:cNvSpPr>
      </xdr:nvSpPr>
      <xdr:spPr>
        <a:xfrm>
          <a:off x="47625" y="5410200"/>
          <a:ext cx="6953250" cy="971550"/>
        </a:xfrm>
        <a:prstGeom prst="rect">
          <a:avLst/>
        </a:prstGeom>
        <a:solidFill>
          <a:srgbClr val="CC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5" name="TextBox 579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6" name="TextBox 583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7" name="TextBox 587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8" name="TextBox 591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9" name="TextBox 614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0" name="TextBox 618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1" name="TextBox 622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2" name="TextBox 626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3" name="TextBox 652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4" name="TextBox 656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5" name="TextBox 660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6" name="TextBox 664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7" name="TextBox 687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8" name="TextBox 691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9" name="TextBox 695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0" name="TextBox 699"/>
        <xdr:cNvSpPr txBox="1">
          <a:spLocks noChangeArrowheads="1"/>
        </xdr:cNvSpPr>
      </xdr:nvSpPr>
      <xdr:spPr>
        <a:xfrm>
          <a:off x="2314575" y="68770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21" name="TextBox 435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22" name="TextBox 439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23" name="TextBox 443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24" name="TextBox 447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25" name="TextBox 470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26" name="TextBox 474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27" name="TextBox 478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28" name="TextBox 482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29" name="TextBox 508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30" name="TextBox 512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31" name="TextBox 516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32" name="TextBox 520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33" name="TextBox 543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34" name="TextBox 547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35" name="TextBox 551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76</xdr:row>
      <xdr:rowOff>0</xdr:rowOff>
    </xdr:from>
    <xdr:to>
      <xdr:col>6</xdr:col>
      <xdr:colOff>28575</xdr:colOff>
      <xdr:row>76</xdr:row>
      <xdr:rowOff>0</xdr:rowOff>
    </xdr:to>
    <xdr:sp>
      <xdr:nvSpPr>
        <xdr:cNvPr id="36" name="TextBox 555"/>
        <xdr:cNvSpPr txBox="1">
          <a:spLocks noChangeArrowheads="1"/>
        </xdr:cNvSpPr>
      </xdr:nvSpPr>
      <xdr:spPr>
        <a:xfrm>
          <a:off x="2314575" y="134683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1</xdr:col>
      <xdr:colOff>9525</xdr:colOff>
      <xdr:row>0</xdr:row>
      <xdr:rowOff>28575</xdr:rowOff>
    </xdr:from>
    <xdr:to>
      <xdr:col>11</xdr:col>
      <xdr:colOff>85725</xdr:colOff>
      <xdr:row>2</xdr:row>
      <xdr:rowOff>476250</xdr:rowOff>
    </xdr:to>
    <xdr:grpSp>
      <xdr:nvGrpSpPr>
        <xdr:cNvPr id="37" name="Group 592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38" name="TextBox 534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CCFFFF"/>
              </a:gs>
              <a:gs pos="100000">
                <a:srgbClr val="5E7575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ELECTRIFICACIÓN RURAL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oneCellAnchor>
    <xdr:from>
      <xdr:col>1</xdr:col>
      <xdr:colOff>28575</xdr:colOff>
      <xdr:row>37</xdr:row>
      <xdr:rowOff>19050</xdr:rowOff>
    </xdr:from>
    <xdr:ext cx="6924675" cy="0"/>
    <xdr:sp>
      <xdr:nvSpPr>
        <xdr:cNvPr id="48" name="Line 588"/>
        <xdr:cNvSpPr>
          <a:spLocks/>
        </xdr:cNvSpPr>
      </xdr:nvSpPr>
      <xdr:spPr>
        <a:xfrm>
          <a:off x="85725" y="6734175"/>
          <a:ext cx="6924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142875</xdr:colOff>
      <xdr:row>2</xdr:row>
      <xdr:rowOff>476250</xdr:rowOff>
    </xdr:to>
    <xdr:grpSp>
      <xdr:nvGrpSpPr>
        <xdr:cNvPr id="1" name="Group 183"/>
        <xdr:cNvGrpSpPr>
          <a:grpSpLocks/>
        </xdr:cNvGrpSpPr>
      </xdr:nvGrpSpPr>
      <xdr:grpSpPr>
        <a:xfrm>
          <a:off x="47625" y="28575"/>
          <a:ext cx="7458075" cy="790575"/>
          <a:chOff x="5" y="3"/>
          <a:chExt cx="783" cy="83"/>
        </a:xfrm>
        <a:solidFill>
          <a:srgbClr val="FFFFFF"/>
        </a:solidFill>
      </xdr:grpSpPr>
      <xdr:sp>
        <xdr:nvSpPr>
          <xdr:cNvPr id="2" name="TextBox 56"/>
          <xdr:cNvSpPr txBox="1">
            <a:spLocks noChangeArrowheads="1"/>
          </xdr:cNvSpPr>
        </xdr:nvSpPr>
        <xdr:spPr>
          <a:xfrm>
            <a:off x="5" y="3"/>
            <a:ext cx="783" cy="83"/>
          </a:xfrm>
          <a:prstGeom prst="rect">
            <a:avLst/>
          </a:prstGeom>
          <a:gradFill rotWithShape="1">
            <a:gsLst>
              <a:gs pos="0">
                <a:srgbClr val="CCFFFF"/>
              </a:gs>
              <a:gs pos="100000">
                <a:srgbClr val="5E7575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ELECTRIFICACIÓN RURAL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>
    <xdr:from>
      <xdr:col>4</xdr:col>
      <xdr:colOff>209550</xdr:colOff>
      <xdr:row>2</xdr:row>
      <xdr:rowOff>228600</xdr:rowOff>
    </xdr:from>
    <xdr:to>
      <xdr:col>5</xdr:col>
      <xdr:colOff>342900</xdr:colOff>
      <xdr:row>2</xdr:row>
      <xdr:rowOff>466725</xdr:rowOff>
    </xdr:to>
    <xdr:grpSp>
      <xdr:nvGrpSpPr>
        <xdr:cNvPr id="12" name="Group 177"/>
        <xdr:cNvGrpSpPr>
          <a:grpSpLocks/>
        </xdr:cNvGrpSpPr>
      </xdr:nvGrpSpPr>
      <xdr:grpSpPr>
        <a:xfrm>
          <a:off x="3000375" y="571500"/>
          <a:ext cx="895350" cy="238125"/>
          <a:chOff x="315" y="60"/>
          <a:chExt cx="94" cy="25"/>
        </a:xfrm>
        <a:solidFill>
          <a:srgbClr val="FFFFFF"/>
        </a:solidFill>
      </xdr:grpSpPr>
      <xdr:pic>
        <xdr:nvPicPr>
          <xdr:cNvPr id="13" name="Image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15" y="60"/>
            <a:ext cx="94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</xdr:col>
      <xdr:colOff>19050</xdr:colOff>
      <xdr:row>109</xdr:row>
      <xdr:rowOff>57150</xdr:rowOff>
    </xdr:from>
    <xdr:ext cx="6962775" cy="9525"/>
    <xdr:sp>
      <xdr:nvSpPr>
        <xdr:cNvPr id="15" name="Line 111"/>
        <xdr:cNvSpPr>
          <a:spLocks/>
        </xdr:cNvSpPr>
      </xdr:nvSpPr>
      <xdr:spPr>
        <a:xfrm>
          <a:off x="76200" y="19078575"/>
          <a:ext cx="6962775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18</xdr:row>
      <xdr:rowOff>0</xdr:rowOff>
    </xdr:from>
    <xdr:ext cx="2733675" cy="523875"/>
    <xdr:sp>
      <xdr:nvSpPr>
        <xdr:cNvPr id="16" name="Rectangle 144"/>
        <xdr:cNvSpPr>
          <a:spLocks/>
        </xdr:cNvSpPr>
      </xdr:nvSpPr>
      <xdr:spPr>
        <a:xfrm>
          <a:off x="4610100" y="3657600"/>
          <a:ext cx="27336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Seleccione la fuente de Tarifa que desea utilizar. Efectúe esta operación cada vez que cambie el valor en la celda.</a:t>
          </a:r>
        </a:p>
      </xdr:txBody>
    </xdr:sp>
    <xdr:clientData fPrintsWithSheet="0"/>
  </xdr:oneCellAnchor>
  <xdr:twoCellAnchor editAs="oneCell">
    <xdr:from>
      <xdr:col>6</xdr:col>
      <xdr:colOff>9525</xdr:colOff>
      <xdr:row>17</xdr:row>
      <xdr:rowOff>152400</xdr:rowOff>
    </xdr:from>
    <xdr:to>
      <xdr:col>6</xdr:col>
      <xdr:colOff>171450</xdr:colOff>
      <xdr:row>19</xdr:row>
      <xdr:rowOff>9525</xdr:rowOff>
    </xdr:to>
    <xdr:pic>
      <xdr:nvPicPr>
        <xdr:cNvPr id="17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3648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19</xdr:row>
      <xdr:rowOff>9525</xdr:rowOff>
    </xdr:from>
    <xdr:to>
      <xdr:col>6</xdr:col>
      <xdr:colOff>171450</xdr:colOff>
      <xdr:row>20</xdr:row>
      <xdr:rowOff>19050</xdr:rowOff>
    </xdr:to>
    <xdr:pic>
      <xdr:nvPicPr>
        <xdr:cNvPr id="18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38385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285750</xdr:colOff>
      <xdr:row>10</xdr:row>
      <xdr:rowOff>85725</xdr:rowOff>
    </xdr:from>
    <xdr:ext cx="2733675" cy="666750"/>
    <xdr:sp>
      <xdr:nvSpPr>
        <xdr:cNvPr id="19" name="Rectangle 167"/>
        <xdr:cNvSpPr>
          <a:spLocks/>
        </xdr:cNvSpPr>
      </xdr:nvSpPr>
      <xdr:spPr>
        <a:xfrm>
          <a:off x="4600575" y="2409825"/>
          <a:ext cx="2733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Si su proyecto incluye Paneles Fotovoltaicos o fuentes de energía similares. Convierta la potencia instalada o producida por ellos a kW y la Tarifa a Bs/kWh.</a:t>
          </a:r>
        </a:p>
      </xdr:txBody>
    </xdr:sp>
    <xdr:clientData fPrintsWithSheet="0"/>
  </xdr:oneCellAnchor>
  <xdr:twoCellAnchor>
    <xdr:from>
      <xdr:col>5</xdr:col>
      <xdr:colOff>409575</xdr:colOff>
      <xdr:row>2</xdr:row>
      <xdr:rowOff>228600</xdr:rowOff>
    </xdr:from>
    <xdr:to>
      <xdr:col>6</xdr:col>
      <xdr:colOff>533400</xdr:colOff>
      <xdr:row>2</xdr:row>
      <xdr:rowOff>438150</xdr:rowOff>
    </xdr:to>
    <xdr:grpSp>
      <xdr:nvGrpSpPr>
        <xdr:cNvPr id="20" name="Group 182"/>
        <xdr:cNvGrpSpPr>
          <a:grpSpLocks/>
        </xdr:cNvGrpSpPr>
      </xdr:nvGrpSpPr>
      <xdr:grpSpPr>
        <a:xfrm>
          <a:off x="3962400" y="571500"/>
          <a:ext cx="885825" cy="209550"/>
          <a:chOff x="501" y="1949"/>
          <a:chExt cx="72" cy="22"/>
        </a:xfrm>
        <a:solidFill>
          <a:srgbClr val="FFFFFF"/>
        </a:solidFill>
      </xdr:grpSpPr>
      <xdr:pic>
        <xdr:nvPicPr>
          <xdr:cNvPr id="21" name="Image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501" y="1949"/>
            <a:ext cx="72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28575</xdr:colOff>
      <xdr:row>35</xdr:row>
      <xdr:rowOff>9525</xdr:rowOff>
    </xdr:from>
    <xdr:to>
      <xdr:col>2</xdr:col>
      <xdr:colOff>638175</xdr:colOff>
      <xdr:row>35</xdr:row>
      <xdr:rowOff>219075</xdr:rowOff>
    </xdr:to>
    <xdr:pic>
      <xdr:nvPicPr>
        <xdr:cNvPr id="23" name="Optio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6972300"/>
          <a:ext cx="609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35</xdr:row>
      <xdr:rowOff>161925</xdr:rowOff>
    </xdr:from>
    <xdr:to>
      <xdr:col>2</xdr:col>
      <xdr:colOff>714375</xdr:colOff>
      <xdr:row>35</xdr:row>
      <xdr:rowOff>381000</xdr:rowOff>
    </xdr:to>
    <xdr:pic>
      <xdr:nvPicPr>
        <xdr:cNvPr id="24" name="OptionButton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712470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35</xdr:row>
      <xdr:rowOff>333375</xdr:rowOff>
    </xdr:from>
    <xdr:to>
      <xdr:col>2</xdr:col>
      <xdr:colOff>895350</xdr:colOff>
      <xdr:row>35</xdr:row>
      <xdr:rowOff>552450</xdr:rowOff>
    </xdr:to>
    <xdr:pic>
      <xdr:nvPicPr>
        <xdr:cNvPr id="25" name="OptionButton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72961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35</xdr:row>
      <xdr:rowOff>352425</xdr:rowOff>
    </xdr:from>
    <xdr:to>
      <xdr:col>3</xdr:col>
      <xdr:colOff>304800</xdr:colOff>
      <xdr:row>35</xdr:row>
      <xdr:rowOff>561975</xdr:rowOff>
    </xdr:to>
    <xdr:pic>
      <xdr:nvPicPr>
        <xdr:cNvPr id="26" name="Text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5400" y="7315200"/>
          <a:ext cx="1038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35</xdr:row>
      <xdr:rowOff>342900</xdr:rowOff>
    </xdr:from>
    <xdr:to>
      <xdr:col>2</xdr:col>
      <xdr:colOff>180975</xdr:colOff>
      <xdr:row>35</xdr:row>
      <xdr:rowOff>552450</xdr:rowOff>
    </xdr:to>
    <xdr:pic>
      <xdr:nvPicPr>
        <xdr:cNvPr id="27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0" y="7305675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9</xdr:col>
      <xdr:colOff>609600</xdr:colOff>
      <xdr:row>2</xdr:row>
      <xdr:rowOff>476250</xdr:rowOff>
    </xdr:to>
    <xdr:sp>
      <xdr:nvSpPr>
        <xdr:cNvPr id="1" name="TextBox 80"/>
        <xdr:cNvSpPr txBox="1">
          <a:spLocks noChangeArrowheads="1"/>
        </xdr:cNvSpPr>
      </xdr:nvSpPr>
      <xdr:spPr>
        <a:xfrm>
          <a:off x="66675" y="28575"/>
          <a:ext cx="7267575" cy="79057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PREPARACIÓN Y EVALUACIÓN DE PROYECTOS DE ELECTRIFICACIÓN RURAL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</xdr:col>
      <xdr:colOff>28575</xdr:colOff>
      <xdr:row>14</xdr:row>
      <xdr:rowOff>142875</xdr:rowOff>
    </xdr:from>
    <xdr:ext cx="6924675" cy="0"/>
    <xdr:sp>
      <xdr:nvSpPr>
        <xdr:cNvPr id="2" name="Line 117"/>
        <xdr:cNvSpPr>
          <a:spLocks/>
        </xdr:cNvSpPr>
      </xdr:nvSpPr>
      <xdr:spPr>
        <a:xfrm>
          <a:off x="85725" y="3009900"/>
          <a:ext cx="6924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108</xdr:row>
      <xdr:rowOff>28575</xdr:rowOff>
    </xdr:from>
    <xdr:ext cx="6924675" cy="0"/>
    <xdr:sp>
      <xdr:nvSpPr>
        <xdr:cNvPr id="3" name="Line 118"/>
        <xdr:cNvSpPr>
          <a:spLocks/>
        </xdr:cNvSpPr>
      </xdr:nvSpPr>
      <xdr:spPr>
        <a:xfrm>
          <a:off x="85725" y="18297525"/>
          <a:ext cx="6924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28575</xdr:rowOff>
    </xdr:from>
    <xdr:to>
      <xdr:col>10</xdr:col>
      <xdr:colOff>647700</xdr:colOff>
      <xdr:row>2</xdr:row>
      <xdr:rowOff>476250</xdr:rowOff>
    </xdr:to>
    <xdr:grpSp>
      <xdr:nvGrpSpPr>
        <xdr:cNvPr id="1" name="Group 45"/>
        <xdr:cNvGrpSpPr>
          <a:grpSpLocks/>
        </xdr:cNvGrpSpPr>
      </xdr:nvGrpSpPr>
      <xdr:grpSpPr>
        <a:xfrm>
          <a:off x="57150" y="28575"/>
          <a:ext cx="7038975" cy="790575"/>
          <a:chOff x="6" y="3"/>
          <a:chExt cx="739" cy="83"/>
        </a:xfrm>
        <a:solidFill>
          <a:srgbClr val="FFFFFF"/>
        </a:solidFill>
      </xdr:grpSpPr>
      <xdr:sp>
        <xdr:nvSpPr>
          <xdr:cNvPr id="2" name="TextBox 22"/>
          <xdr:cNvSpPr txBox="1">
            <a:spLocks noChangeArrowheads="1"/>
          </xdr:cNvSpPr>
        </xdr:nvSpPr>
        <xdr:spPr>
          <a:xfrm>
            <a:off x="6" y="3"/>
            <a:ext cx="739" cy="83"/>
          </a:xfrm>
          <a:prstGeom prst="rect">
            <a:avLst/>
          </a:prstGeom>
          <a:gradFill rotWithShape="1">
            <a:gsLst>
              <a:gs pos="0">
                <a:srgbClr val="CCFFFF"/>
              </a:gs>
              <a:gs pos="100000">
                <a:srgbClr val="5E7575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ELECTRIFICACIÓN RURAL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twoCellAnchor editAs="oneCell">
    <xdr:from>
      <xdr:col>6</xdr:col>
      <xdr:colOff>457200</xdr:colOff>
      <xdr:row>57</xdr:row>
      <xdr:rowOff>66675</xdr:rowOff>
    </xdr:from>
    <xdr:to>
      <xdr:col>7</xdr:col>
      <xdr:colOff>419100</xdr:colOff>
      <xdr:row>70</xdr:row>
      <xdr:rowOff>47625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68630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9</xdr:col>
      <xdr:colOff>485775</xdr:colOff>
      <xdr:row>2</xdr:row>
      <xdr:rowOff>476250</xdr:rowOff>
    </xdr:to>
    <xdr:grpSp>
      <xdr:nvGrpSpPr>
        <xdr:cNvPr id="1" name="Group 39"/>
        <xdr:cNvGrpSpPr>
          <a:grpSpLocks/>
        </xdr:cNvGrpSpPr>
      </xdr:nvGrpSpPr>
      <xdr:grpSpPr>
        <a:xfrm>
          <a:off x="0" y="28575"/>
          <a:ext cx="7400925" cy="790575"/>
          <a:chOff x="7" y="3"/>
          <a:chExt cx="733" cy="83"/>
        </a:xfrm>
        <a:solidFill>
          <a:srgbClr val="FFFFFF"/>
        </a:solidFill>
      </xdr:grpSpPr>
      <xdr:sp>
        <xdr:nvSpPr>
          <xdr:cNvPr id="2" name="TextBox 18"/>
          <xdr:cNvSpPr txBox="1">
            <a:spLocks noChangeArrowheads="1"/>
          </xdr:cNvSpPr>
        </xdr:nvSpPr>
        <xdr:spPr>
          <a:xfrm>
            <a:off x="7" y="3"/>
            <a:ext cx="733" cy="83"/>
          </a:xfrm>
          <a:prstGeom prst="rect">
            <a:avLst/>
          </a:prstGeom>
          <a:gradFill rotWithShape="1">
            <a:gsLst>
              <a:gs pos="0">
                <a:srgbClr val="CCFFFF"/>
              </a:gs>
              <a:gs pos="100000">
                <a:srgbClr val="5E7575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ELECTRIFICACIÓN RURAL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28575</xdr:rowOff>
    </xdr:from>
    <xdr:to>
      <xdr:col>11</xdr:col>
      <xdr:colOff>257175</xdr:colOff>
      <xdr:row>2</xdr:row>
      <xdr:rowOff>476250</xdr:rowOff>
    </xdr:to>
    <xdr:grpSp>
      <xdr:nvGrpSpPr>
        <xdr:cNvPr id="1" name="Group 69"/>
        <xdr:cNvGrpSpPr>
          <a:grpSpLocks/>
        </xdr:cNvGrpSpPr>
      </xdr:nvGrpSpPr>
      <xdr:grpSpPr>
        <a:xfrm>
          <a:off x="57150" y="28575"/>
          <a:ext cx="7010400" cy="790575"/>
          <a:chOff x="6" y="3"/>
          <a:chExt cx="736" cy="83"/>
        </a:xfrm>
        <a:solidFill>
          <a:srgbClr val="FFFFFF"/>
        </a:solidFill>
      </xdr:grpSpPr>
      <xdr:sp>
        <xdr:nvSpPr>
          <xdr:cNvPr id="2" name="TextBox 29"/>
          <xdr:cNvSpPr txBox="1">
            <a:spLocks noChangeArrowheads="1"/>
          </xdr:cNvSpPr>
        </xdr:nvSpPr>
        <xdr:spPr>
          <a:xfrm>
            <a:off x="6" y="3"/>
            <a:ext cx="736" cy="83"/>
          </a:xfrm>
          <a:prstGeom prst="rect">
            <a:avLst/>
          </a:prstGeom>
          <a:gradFill rotWithShape="1">
            <a:gsLst>
              <a:gs pos="0">
                <a:srgbClr val="CCFFFF"/>
              </a:gs>
              <a:gs pos="100000">
                <a:srgbClr val="5E7575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DEELECTRIFICACIÓN RURAL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oneCellAnchor>
    <xdr:from>
      <xdr:col>6</xdr:col>
      <xdr:colOff>9525</xdr:colOff>
      <xdr:row>3</xdr:row>
      <xdr:rowOff>190500</xdr:rowOff>
    </xdr:from>
    <xdr:ext cx="619125" cy="352425"/>
    <xdr:grpSp>
      <xdr:nvGrpSpPr>
        <xdr:cNvPr id="12" name="Group 51"/>
        <xdr:cNvGrpSpPr>
          <a:grpSpLocks/>
        </xdr:cNvGrpSpPr>
      </xdr:nvGrpSpPr>
      <xdr:grpSpPr>
        <a:xfrm>
          <a:off x="3181350" y="1047750"/>
          <a:ext cx="619125" cy="352425"/>
          <a:chOff x="289" y="219"/>
          <a:chExt cx="65" cy="37"/>
        </a:xfrm>
        <a:solidFill>
          <a:srgbClr val="FFFFFF"/>
        </a:solidFill>
      </xdr:grpSpPr>
      <xdr:pic macro="[0]!Sensibilidad">
        <xdr:nvPicPr>
          <xdr:cNvPr id="13" name="TextBox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9" y="219"/>
            <a:ext cx="65" cy="36"/>
          </a:xfrm>
          <a:prstGeom prst="rect">
            <a:avLst/>
          </a:prstGeom>
          <a:noFill/>
          <a:ln w="9525" cmpd="sng">
            <a:noFill/>
          </a:ln>
        </xdr:spPr>
      </xdr:pic>
      <xdr:sp macro="[0]!Sensibilidad">
        <xdr:nvSpPr>
          <xdr:cNvPr id="14" name="TextBox 47"/>
          <xdr:cNvSpPr txBox="1">
            <a:spLocks noChangeArrowheads="1"/>
          </xdr:cNvSpPr>
        </xdr:nvSpPr>
        <xdr:spPr>
          <a:xfrm>
            <a:off x="291" y="221"/>
            <a:ext cx="63" cy="3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Calcular Indices</a:t>
            </a:r>
          </a:p>
        </xdr:txBody>
      </xdr:sp>
    </xdr:grp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10</xdr:col>
      <xdr:colOff>161925</xdr:colOff>
      <xdr:row>2</xdr:row>
      <xdr:rowOff>476250</xdr:rowOff>
    </xdr:to>
    <xdr:grpSp>
      <xdr:nvGrpSpPr>
        <xdr:cNvPr id="1" name="Group 34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CCFFFF"/>
              </a:gs>
              <a:gs pos="100000">
                <a:srgbClr val="5E7575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ELECTRIFICACIÓN RURAL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twoCellAnchor>
    <xdr:from>
      <xdr:col>1</xdr:col>
      <xdr:colOff>0</xdr:colOff>
      <xdr:row>19</xdr:row>
      <xdr:rowOff>0</xdr:rowOff>
    </xdr:from>
    <xdr:to>
      <xdr:col>5</xdr:col>
      <xdr:colOff>752475</xdr:colOff>
      <xdr:row>20</xdr:row>
      <xdr:rowOff>76200</xdr:rowOff>
    </xdr:to>
    <xdr:sp fLocksText="0">
      <xdr:nvSpPr>
        <xdr:cNvPr id="12" name="TextBox 23"/>
        <xdr:cNvSpPr txBox="1">
          <a:spLocks noChangeArrowheads="1"/>
        </xdr:cNvSpPr>
      </xdr:nvSpPr>
      <xdr:spPr>
        <a:xfrm>
          <a:off x="57150" y="3810000"/>
          <a:ext cx="3800475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6</xdr:col>
      <xdr:colOff>0</xdr:colOff>
      <xdr:row>23</xdr:row>
      <xdr:rowOff>76200</xdr:rowOff>
    </xdr:to>
    <xdr:sp fLocksText="0">
      <xdr:nvSpPr>
        <xdr:cNvPr id="13" name="TextBox 24"/>
        <xdr:cNvSpPr txBox="1">
          <a:spLocks noChangeArrowheads="1"/>
        </xdr:cNvSpPr>
      </xdr:nvSpPr>
      <xdr:spPr>
        <a:xfrm>
          <a:off x="66675" y="4362450"/>
          <a:ext cx="3800475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4</xdr:col>
      <xdr:colOff>438150</xdr:colOff>
      <xdr:row>13</xdr:row>
      <xdr:rowOff>9525</xdr:rowOff>
    </xdr:to>
    <xdr:grpSp>
      <xdr:nvGrpSpPr>
        <xdr:cNvPr id="14" name="Group 33"/>
        <xdr:cNvGrpSpPr>
          <a:grpSpLocks/>
        </xdr:cNvGrpSpPr>
      </xdr:nvGrpSpPr>
      <xdr:grpSpPr>
        <a:xfrm>
          <a:off x="57150" y="1352550"/>
          <a:ext cx="2724150" cy="1362075"/>
          <a:chOff x="6" y="174"/>
          <a:chExt cx="286" cy="145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16</xdr:row>
      <xdr:rowOff>9525</xdr:rowOff>
    </xdr:from>
    <xdr:to>
      <xdr:col>5</xdr:col>
      <xdr:colOff>752475</xdr:colOff>
      <xdr:row>17</xdr:row>
      <xdr:rowOff>85725</xdr:rowOff>
    </xdr:to>
    <xdr:sp fLocksText="0">
      <xdr:nvSpPr>
        <xdr:cNvPr id="19" name="TextBox 26"/>
        <xdr:cNvSpPr txBox="1">
          <a:spLocks noChangeArrowheads="1"/>
        </xdr:cNvSpPr>
      </xdr:nvSpPr>
      <xdr:spPr>
        <a:xfrm>
          <a:off x="57150" y="3267075"/>
          <a:ext cx="3800475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16</xdr:row>
      <xdr:rowOff>9525</xdr:rowOff>
    </xdr:from>
    <xdr:to>
      <xdr:col>9</xdr:col>
      <xdr:colOff>733425</xdr:colOff>
      <xdr:row>23</xdr:row>
      <xdr:rowOff>57150</xdr:rowOff>
    </xdr:to>
    <xdr:sp fLocksText="0">
      <xdr:nvSpPr>
        <xdr:cNvPr id="20" name="TextBox 27"/>
        <xdr:cNvSpPr txBox="1">
          <a:spLocks noChangeArrowheads="1"/>
        </xdr:cNvSpPr>
      </xdr:nvSpPr>
      <xdr:spPr>
        <a:xfrm>
          <a:off x="4391025" y="3267075"/>
          <a:ext cx="2495550" cy="1314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9</xdr:col>
      <xdr:colOff>733425</xdr:colOff>
      <xdr:row>12</xdr:row>
      <xdr:rowOff>142875</xdr:rowOff>
    </xdr:to>
    <xdr:sp fLocksText="0">
      <xdr:nvSpPr>
        <xdr:cNvPr id="21" name="TextBox 29"/>
        <xdr:cNvSpPr txBox="1">
          <a:spLocks noChangeArrowheads="1"/>
        </xdr:cNvSpPr>
      </xdr:nvSpPr>
      <xdr:spPr>
        <a:xfrm>
          <a:off x="3105150" y="1390650"/>
          <a:ext cx="3781425" cy="1295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E10:G1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sheetData>
    <row r="10" spans="5:7" ht="12.75">
      <c r="E10" s="6"/>
      <c r="G10" s="6"/>
    </row>
    <row r="19" ht="12.75">
      <c r="E19" s="7"/>
    </row>
  </sheetData>
  <sheetProtection sheet="1" objects="1" scenarios="1"/>
  <printOptions horizontalCentered="1" verticalCentered="1"/>
  <pageMargins left="0.75" right="0.75" top="1" bottom="1" header="0" footer="0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M237"/>
  <sheetViews>
    <sheetView showGridLines="0" showRowColHeaders="0" zoomScaleSheetLayoutView="10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  <col min="2" max="2" width="10.7109375" style="0" customWidth="1"/>
    <col min="3" max="10" width="10.28125" style="0" customWidth="1"/>
  </cols>
  <sheetData>
    <row r="1" spans="2:5" ht="13.5" customHeight="1">
      <c r="B1" s="153" t="str">
        <f>INDICADORES!C66</f>
        <v>REGIÓN</v>
      </c>
      <c r="C1" s="153">
        <f>INDICADORES!D66</f>
        <v>0</v>
      </c>
      <c r="D1" s="153" t="str">
        <f>INDICADORES!J68</f>
        <v>Max</v>
      </c>
      <c r="E1" s="153" t="s">
        <v>252</v>
      </c>
    </row>
    <row r="2" spans="2:10" ht="13.5" customHeight="1">
      <c r="B2" s="154">
        <f>INDICADORES!C74</f>
        <v>0</v>
      </c>
      <c r="C2" s="154">
        <f>INDICADORES!D74</f>
        <v>0</v>
      </c>
      <c r="D2" s="1"/>
      <c r="E2" s="1"/>
      <c r="F2" s="1"/>
      <c r="G2" s="1"/>
      <c r="H2" s="1"/>
      <c r="I2" s="1"/>
      <c r="J2" s="1"/>
    </row>
    <row r="3" spans="2:10" ht="40.5" customHeight="1">
      <c r="B3" s="155">
        <f>INDICADORES!C82</f>
        <v>0</v>
      </c>
      <c r="C3" s="155">
        <f>INDICADORES!D82</f>
        <v>0</v>
      </c>
      <c r="D3" s="2"/>
      <c r="E3" s="2"/>
      <c r="F3" s="2"/>
      <c r="G3" s="2"/>
      <c r="H3" s="2"/>
      <c r="I3" s="2"/>
      <c r="J3" s="2"/>
    </row>
    <row r="4" spans="2:12" ht="21.75" customHeight="1" thickBot="1">
      <c r="B4" s="174" t="s">
        <v>282</v>
      </c>
      <c r="C4" s="2"/>
      <c r="D4" s="2"/>
      <c r="E4" s="2"/>
      <c r="F4" s="2"/>
      <c r="G4" s="91">
        <f>años1+AñosInversion</f>
        <v>2</v>
      </c>
      <c r="H4" s="2"/>
      <c r="I4" s="2"/>
      <c r="J4" s="2"/>
      <c r="L4" s="5" t="s">
        <v>48</v>
      </c>
    </row>
    <row r="5" spans="2:12" ht="14.25" customHeight="1" thickTop="1">
      <c r="B5" s="19"/>
      <c r="C5" s="20"/>
      <c r="D5" s="20"/>
      <c r="E5" s="20"/>
      <c r="F5" s="20"/>
      <c r="G5" s="20"/>
      <c r="H5" s="20"/>
      <c r="I5" s="20"/>
      <c r="J5" s="20"/>
      <c r="K5" s="21"/>
      <c r="L5" s="5"/>
    </row>
    <row r="6" spans="2:12" ht="14.25" customHeight="1">
      <c r="B6" s="249" t="s">
        <v>281</v>
      </c>
      <c r="C6" s="250"/>
      <c r="D6" s="250"/>
      <c r="E6" s="22"/>
      <c r="F6" s="22"/>
      <c r="G6" s="22"/>
      <c r="H6" s="22"/>
      <c r="I6" s="22"/>
      <c r="J6" s="22"/>
      <c r="K6" s="23"/>
      <c r="L6" s="5"/>
    </row>
    <row r="7" spans="2:12" ht="14.25" customHeight="1">
      <c r="B7" s="24"/>
      <c r="C7" s="25"/>
      <c r="D7" s="25"/>
      <c r="E7" s="25"/>
      <c r="F7" s="25"/>
      <c r="G7" s="25"/>
      <c r="H7" s="25"/>
      <c r="I7" s="25"/>
      <c r="J7" s="25"/>
      <c r="K7" s="26"/>
      <c r="L7" s="5"/>
    </row>
    <row r="8" spans="2:12" ht="14.25" customHeight="1">
      <c r="B8" s="24"/>
      <c r="C8" s="25"/>
      <c r="D8" s="25"/>
      <c r="E8" s="25"/>
      <c r="F8" s="25"/>
      <c r="G8" s="25"/>
      <c r="H8" s="25"/>
      <c r="I8" s="25"/>
      <c r="J8" s="25"/>
      <c r="K8" s="26"/>
      <c r="L8" s="5">
        <v>2</v>
      </c>
    </row>
    <row r="9" spans="2:11" ht="13.5" customHeight="1">
      <c r="B9" s="24"/>
      <c r="C9" s="25"/>
      <c r="D9" s="25"/>
      <c r="E9" s="25"/>
      <c r="F9" s="25"/>
      <c r="G9" s="25"/>
      <c r="H9" s="25"/>
      <c r="I9" s="25"/>
      <c r="J9" s="25"/>
      <c r="K9" s="26"/>
    </row>
    <row r="10" spans="2:11" ht="14.25" customHeight="1" thickBot="1">
      <c r="B10" s="24"/>
      <c r="C10" s="25"/>
      <c r="D10" s="25"/>
      <c r="E10" s="25"/>
      <c r="F10" s="25"/>
      <c r="G10" s="25"/>
      <c r="H10" s="25"/>
      <c r="I10" s="25"/>
      <c r="J10" s="25"/>
      <c r="K10" s="26"/>
    </row>
    <row r="11" spans="2:11" ht="14.25" customHeight="1" thickBot="1">
      <c r="B11" s="256" t="s">
        <v>16</v>
      </c>
      <c r="C11" s="257"/>
      <c r="D11" s="257"/>
      <c r="E11" s="258"/>
      <c r="F11" s="28">
        <v>1</v>
      </c>
      <c r="G11" s="90"/>
      <c r="H11" s="25"/>
      <c r="I11" s="27" t="s">
        <v>17</v>
      </c>
      <c r="J11" s="173">
        <f ca="1">YEAR(NOW())</f>
        <v>2008</v>
      </c>
      <c r="K11" s="26"/>
    </row>
    <row r="12" spans="2:11" ht="14.25" customHeight="1" thickBot="1">
      <c r="B12" s="256" t="s">
        <v>161</v>
      </c>
      <c r="C12" s="257"/>
      <c r="D12" s="257"/>
      <c r="E12" s="258"/>
      <c r="F12" s="28">
        <v>1</v>
      </c>
      <c r="G12" s="25"/>
      <c r="H12" s="25"/>
      <c r="I12" s="27"/>
      <c r="J12" s="25"/>
      <c r="K12" s="26"/>
    </row>
    <row r="13" spans="2:11" ht="14.25" customHeight="1">
      <c r="B13" s="259" t="s">
        <v>174</v>
      </c>
      <c r="C13" s="260"/>
      <c r="D13" s="260"/>
      <c r="E13" s="260"/>
      <c r="F13" s="260"/>
      <c r="G13" s="260"/>
      <c r="H13" s="260"/>
      <c r="I13" s="260"/>
      <c r="J13" s="260"/>
      <c r="K13" s="261"/>
    </row>
    <row r="14" spans="2:11" ht="14.2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61"/>
    </row>
    <row r="15" spans="2:11" ht="15" customHeight="1" thickBot="1">
      <c r="B15" s="253"/>
      <c r="C15" s="254"/>
      <c r="D15" s="254"/>
      <c r="E15" s="254"/>
      <c r="F15" s="254"/>
      <c r="G15" s="254"/>
      <c r="H15" s="254"/>
      <c r="I15" s="254"/>
      <c r="J15" s="254"/>
      <c r="K15" s="255"/>
    </row>
    <row r="16" ht="14.25" customHeight="1" thickTop="1"/>
    <row r="17" spans="2:10" ht="18.75" customHeight="1">
      <c r="B17" s="149" t="s">
        <v>280</v>
      </c>
      <c r="H17" s="118" t="s">
        <v>219</v>
      </c>
      <c r="I17" s="118"/>
      <c r="J17" s="118"/>
    </row>
    <row r="18" spans="2:11" ht="14.25" customHeight="1">
      <c r="B18" s="120"/>
      <c r="C18" s="121"/>
      <c r="D18" s="121"/>
      <c r="E18" s="121"/>
      <c r="F18" s="122"/>
      <c r="H18" s="156"/>
      <c r="I18" s="157"/>
      <c r="J18" s="157"/>
      <c r="K18" s="158"/>
    </row>
    <row r="19" spans="2:11" ht="14.25" customHeight="1">
      <c r="B19" s="124"/>
      <c r="C19" s="119"/>
      <c r="D19" s="119"/>
      <c r="E19" s="119"/>
      <c r="F19" s="123"/>
      <c r="H19" s="281" t="s">
        <v>220</v>
      </c>
      <c r="I19" s="282"/>
      <c r="J19" s="282" t="s">
        <v>250</v>
      </c>
      <c r="K19" s="283"/>
    </row>
    <row r="20" spans="2:11" ht="14.25" customHeight="1">
      <c r="B20" s="124"/>
      <c r="C20" s="119"/>
      <c r="D20" s="119"/>
      <c r="E20" s="119"/>
      <c r="F20" s="123"/>
      <c r="H20" s="159"/>
      <c r="I20" s="160"/>
      <c r="J20" s="160"/>
      <c r="K20" s="161"/>
    </row>
    <row r="21" spans="2:11" ht="14.25" customHeight="1">
      <c r="B21" s="124"/>
      <c r="C21" s="119"/>
      <c r="D21" s="119"/>
      <c r="E21" s="119"/>
      <c r="F21" s="123"/>
      <c r="H21" s="162"/>
      <c r="I21" s="163"/>
      <c r="J21" s="163"/>
      <c r="K21" s="166"/>
    </row>
    <row r="22" spans="2:11" ht="27.75" customHeight="1">
      <c r="B22" s="124"/>
      <c r="C22" s="119"/>
      <c r="D22" s="119"/>
      <c r="E22" s="119"/>
      <c r="F22" s="123"/>
      <c r="H22" s="279" t="s">
        <v>218</v>
      </c>
      <c r="I22" s="280"/>
      <c r="J22" s="168" t="s">
        <v>222</v>
      </c>
      <c r="K22" s="167" t="s">
        <v>251</v>
      </c>
    </row>
    <row r="23" spans="2:11" ht="16.5" customHeight="1">
      <c r="B23" s="124"/>
      <c r="C23" s="119"/>
      <c r="D23" s="119"/>
      <c r="E23" s="119"/>
      <c r="F23" s="123"/>
      <c r="H23" s="160"/>
      <c r="I23" s="160"/>
      <c r="J23" s="160"/>
      <c r="K23" s="164" t="s">
        <v>230</v>
      </c>
    </row>
    <row r="24" spans="2:11" ht="14.25" customHeight="1">
      <c r="B24" s="125"/>
      <c r="C24" s="126"/>
      <c r="D24" s="126"/>
      <c r="E24" s="126"/>
      <c r="F24" s="127"/>
      <c r="H24" s="160"/>
      <c r="I24" s="160"/>
      <c r="J24" s="164"/>
      <c r="K24" s="160"/>
    </row>
    <row r="25" spans="2:5" ht="15">
      <c r="B25" s="247" t="s">
        <v>279</v>
      </c>
      <c r="C25" s="248"/>
      <c r="D25" s="248"/>
      <c r="E25" s="248"/>
    </row>
    <row r="32" spans="2:4" ht="15">
      <c r="B32" s="251" t="s">
        <v>278</v>
      </c>
      <c r="C32" s="252"/>
      <c r="D32" s="252"/>
    </row>
    <row r="33" spans="2:4" ht="13.5" customHeight="1">
      <c r="B33" s="17"/>
      <c r="C33" s="18"/>
      <c r="D33" s="18"/>
    </row>
    <row r="34" spans="2:4" ht="13.5" customHeight="1">
      <c r="B34" s="17"/>
      <c r="C34" s="18"/>
      <c r="D34" s="18"/>
    </row>
    <row r="35" spans="2:4" ht="13.5" customHeight="1">
      <c r="B35" s="17"/>
      <c r="C35" s="18"/>
      <c r="D35" s="18"/>
    </row>
    <row r="36" spans="2:4" ht="13.5" customHeight="1">
      <c r="B36" s="17"/>
      <c r="C36" s="18"/>
      <c r="D36" s="18"/>
    </row>
    <row r="38" ht="15">
      <c r="B38" s="12" t="s">
        <v>26</v>
      </c>
    </row>
    <row r="44" ht="18">
      <c r="B44" s="149" t="s">
        <v>277</v>
      </c>
    </row>
    <row r="52" ht="15">
      <c r="B52" s="149" t="s">
        <v>276</v>
      </c>
    </row>
    <row r="60" ht="15">
      <c r="B60" s="149" t="s">
        <v>275</v>
      </c>
    </row>
    <row r="67" spans="2:11" ht="18">
      <c r="B67" s="149" t="s">
        <v>274</v>
      </c>
      <c r="C67" s="51"/>
      <c r="D67" s="51"/>
      <c r="E67" s="51"/>
      <c r="F67" s="51"/>
      <c r="G67" s="51"/>
      <c r="H67" s="51"/>
      <c r="I67" s="51"/>
      <c r="J67" s="51"/>
      <c r="K67" s="51"/>
    </row>
    <row r="68" spans="2:11" ht="12.75">
      <c r="B68" s="242" t="s">
        <v>55</v>
      </c>
      <c r="C68" s="236"/>
      <c r="D68" s="242" t="s">
        <v>56</v>
      </c>
      <c r="E68" s="244" t="s">
        <v>57</v>
      </c>
      <c r="F68" s="244" t="s">
        <v>58</v>
      </c>
      <c r="G68" s="236" t="s">
        <v>59</v>
      </c>
      <c r="H68" s="262" t="s">
        <v>60</v>
      </c>
      <c r="I68" s="262"/>
      <c r="J68" s="4"/>
      <c r="K68" s="277" t="s">
        <v>61</v>
      </c>
    </row>
    <row r="69" spans="2:11" ht="25.5">
      <c r="B69" s="243"/>
      <c r="C69" s="237"/>
      <c r="D69" s="243"/>
      <c r="E69" s="245"/>
      <c r="F69" s="245"/>
      <c r="G69" s="237"/>
      <c r="H69" s="49" t="s">
        <v>62</v>
      </c>
      <c r="I69" s="50" t="s">
        <v>63</v>
      </c>
      <c r="J69" s="4"/>
      <c r="K69" s="278"/>
    </row>
    <row r="70" spans="2:11" s="52" customFormat="1" ht="12.75">
      <c r="B70" s="238" t="s">
        <v>64</v>
      </c>
      <c r="C70" s="239"/>
      <c r="D70" s="61" t="b">
        <v>0</v>
      </c>
      <c r="E70" s="61" t="b">
        <v>0</v>
      </c>
      <c r="F70" s="61" t="b">
        <v>0</v>
      </c>
      <c r="G70" s="61" t="b">
        <v>0</v>
      </c>
      <c r="H70" s="62" t="b">
        <v>0</v>
      </c>
      <c r="I70" s="63" t="b">
        <v>0</v>
      </c>
      <c r="J70" s="4"/>
      <c r="K70" s="240">
        <v>4</v>
      </c>
    </row>
    <row r="71" spans="2:11" s="52" customFormat="1" ht="12.75">
      <c r="B71" s="228" t="s">
        <v>65</v>
      </c>
      <c r="C71" s="229"/>
      <c r="D71" s="64" t="b">
        <v>0</v>
      </c>
      <c r="E71" s="64" t="b">
        <v>0</v>
      </c>
      <c r="F71" s="64" t="b">
        <v>0</v>
      </c>
      <c r="G71" s="64" t="b">
        <v>0</v>
      </c>
      <c r="H71" s="65" t="b">
        <v>0</v>
      </c>
      <c r="I71" s="66" t="b">
        <v>0</v>
      </c>
      <c r="J71" s="4"/>
      <c r="K71" s="241"/>
    </row>
    <row r="72" spans="2:11" s="52" customFormat="1" ht="12.75">
      <c r="B72" s="228" t="s">
        <v>66</v>
      </c>
      <c r="C72" s="229"/>
      <c r="D72" s="64" t="b">
        <v>0</v>
      </c>
      <c r="E72" s="64" t="b">
        <v>0</v>
      </c>
      <c r="F72" s="64" t="b">
        <v>0</v>
      </c>
      <c r="G72" s="64" t="b">
        <v>0</v>
      </c>
      <c r="H72" s="65" t="b">
        <v>0</v>
      </c>
      <c r="I72" s="66" t="b">
        <v>0</v>
      </c>
      <c r="J72" s="4"/>
      <c r="K72" s="4"/>
    </row>
    <row r="73" spans="2:11" s="52" customFormat="1" ht="12.75">
      <c r="B73" s="228" t="s">
        <v>67</v>
      </c>
      <c r="C73" s="229"/>
      <c r="D73" s="64" t="b">
        <v>0</v>
      </c>
      <c r="E73" s="64" t="b">
        <v>0</v>
      </c>
      <c r="F73" s="64" t="b">
        <v>0</v>
      </c>
      <c r="G73" s="64" t="b">
        <v>0</v>
      </c>
      <c r="H73" s="67" t="b">
        <v>0</v>
      </c>
      <c r="I73" s="68" t="b">
        <v>0</v>
      </c>
      <c r="J73"/>
      <c r="K73"/>
    </row>
    <row r="74" spans="2:11" s="52" customFormat="1" ht="12.75">
      <c r="B74" s="230" t="s">
        <v>68</v>
      </c>
      <c r="C74" s="231"/>
      <c r="D74" s="69" t="b">
        <v>0</v>
      </c>
      <c r="E74" s="69" t="b">
        <v>0</v>
      </c>
      <c r="F74" s="69" t="b">
        <v>0</v>
      </c>
      <c r="G74" s="69" t="b">
        <v>0</v>
      </c>
      <c r="H74" s="70" t="b">
        <v>0</v>
      </c>
      <c r="I74" s="71" t="b">
        <v>0</v>
      </c>
      <c r="J74"/>
      <c r="K74"/>
    </row>
    <row r="75" spans="2:11" s="52" customFormat="1" ht="12.75">
      <c r="B75" s="53"/>
      <c r="C75" s="53"/>
      <c r="D75" s="54"/>
      <c r="E75" s="54"/>
      <c r="F75" s="54"/>
      <c r="G75" s="54"/>
      <c r="H75" s="55"/>
      <c r="I75" s="55"/>
      <c r="J75" s="55"/>
      <c r="K75" s="55"/>
    </row>
    <row r="76" ht="15">
      <c r="B76" s="149" t="s">
        <v>273</v>
      </c>
    </row>
    <row r="84" ht="15">
      <c r="B84" s="149" t="s">
        <v>253</v>
      </c>
    </row>
    <row r="85" spans="2:13" ht="17.25" customHeight="1">
      <c r="B85" s="215" t="s">
        <v>265</v>
      </c>
      <c r="C85" s="215"/>
      <c r="D85" s="217" t="s">
        <v>254</v>
      </c>
      <c r="E85" s="221" t="s">
        <v>315</v>
      </c>
      <c r="F85" s="219" t="s">
        <v>255</v>
      </c>
      <c r="G85" s="219"/>
      <c r="H85" s="219"/>
      <c r="I85" s="220"/>
      <c r="J85" s="219" t="s">
        <v>262</v>
      </c>
      <c r="K85" s="219"/>
      <c r="L85" s="219"/>
      <c r="M85" s="220"/>
    </row>
    <row r="86" spans="2:13" ht="15.75" customHeight="1">
      <c r="B86" s="215"/>
      <c r="C86" s="215"/>
      <c r="D86" s="218"/>
      <c r="E86" s="222"/>
      <c r="F86" s="189" t="s">
        <v>256</v>
      </c>
      <c r="G86" s="187" t="s">
        <v>257</v>
      </c>
      <c r="H86" s="187" t="s">
        <v>258</v>
      </c>
      <c r="I86" s="187" t="s">
        <v>259</v>
      </c>
      <c r="J86" s="189" t="s">
        <v>256</v>
      </c>
      <c r="K86" s="187" t="s">
        <v>257</v>
      </c>
      <c r="L86" s="187" t="s">
        <v>258</v>
      </c>
      <c r="M86" s="187" t="s">
        <v>259</v>
      </c>
    </row>
    <row r="87" spans="2:13" ht="12.75">
      <c r="B87" s="216" t="s">
        <v>263</v>
      </c>
      <c r="C87" s="216"/>
      <c r="D87" s="88"/>
      <c r="E87" s="88"/>
      <c r="F87" s="175"/>
      <c r="G87" s="175"/>
      <c r="H87" s="175"/>
      <c r="I87" s="175"/>
      <c r="J87" s="175"/>
      <c r="K87" s="175"/>
      <c r="L87" s="175"/>
      <c r="M87" s="175"/>
    </row>
    <row r="88" spans="2:13" ht="12.75">
      <c r="B88" s="216" t="s">
        <v>264</v>
      </c>
      <c r="C88" s="216"/>
      <c r="D88" s="88"/>
      <c r="E88" s="88"/>
      <c r="F88" s="175"/>
      <c r="G88" s="175"/>
      <c r="H88" s="175"/>
      <c r="I88" s="175"/>
      <c r="J88" s="175"/>
      <c r="K88" s="175"/>
      <c r="L88" s="175"/>
      <c r="M88" s="175"/>
    </row>
    <row r="89" spans="2:13" ht="12.75">
      <c r="B89" s="216" t="s">
        <v>260</v>
      </c>
      <c r="C89" s="216"/>
      <c r="D89" s="88"/>
      <c r="E89" s="88"/>
      <c r="F89" s="175"/>
      <c r="G89" s="175"/>
      <c r="H89" s="175"/>
      <c r="I89" s="175"/>
      <c r="J89" s="175"/>
      <c r="K89" s="175"/>
      <c r="L89" s="175"/>
      <c r="M89" s="175"/>
    </row>
    <row r="90" spans="11:13" ht="12.75">
      <c r="K90" s="3"/>
      <c r="L90" s="3"/>
      <c r="M90" s="3"/>
    </row>
    <row r="91" spans="2:13" ht="15.75" customHeight="1">
      <c r="B91" s="215" t="s">
        <v>265</v>
      </c>
      <c r="C91" s="215"/>
      <c r="D91" s="217" t="s">
        <v>268</v>
      </c>
      <c r="E91" s="217" t="s">
        <v>316</v>
      </c>
      <c r="F91" s="217" t="s">
        <v>269</v>
      </c>
      <c r="G91" s="217" t="s">
        <v>298</v>
      </c>
      <c r="H91" s="219" t="s">
        <v>270</v>
      </c>
      <c r="I91" s="219"/>
      <c r="J91" s="219"/>
      <c r="K91" s="220"/>
      <c r="L91" s="284" t="s">
        <v>271</v>
      </c>
      <c r="M91" s="285"/>
    </row>
    <row r="92" spans="2:13" ht="17.25" customHeight="1">
      <c r="B92" s="215"/>
      <c r="C92" s="215"/>
      <c r="D92" s="218"/>
      <c r="E92" s="218"/>
      <c r="F92" s="218"/>
      <c r="G92" s="218"/>
      <c r="H92" s="189" t="s">
        <v>256</v>
      </c>
      <c r="I92" s="187" t="s">
        <v>257</v>
      </c>
      <c r="J92" s="187" t="s">
        <v>258</v>
      </c>
      <c r="K92" s="187" t="s">
        <v>259</v>
      </c>
      <c r="L92" s="286"/>
      <c r="M92" s="287"/>
    </row>
    <row r="93" spans="2:13" ht="12.75">
      <c r="B93" s="216" t="s">
        <v>261</v>
      </c>
      <c r="C93" s="216"/>
      <c r="D93" s="88"/>
      <c r="E93" s="88"/>
      <c r="F93" s="88"/>
      <c r="G93" s="178">
        <f>E93*F93*365</f>
        <v>0</v>
      </c>
      <c r="H93" s="175"/>
      <c r="I93" s="175"/>
      <c r="J93" s="175"/>
      <c r="K93" s="175"/>
      <c r="L93" s="288"/>
      <c r="M93" s="289"/>
    </row>
    <row r="95" ht="15">
      <c r="B95" s="149" t="s">
        <v>285</v>
      </c>
    </row>
    <row r="96" spans="2:6" ht="12.75" customHeight="1">
      <c r="B96" s="209" t="s">
        <v>267</v>
      </c>
      <c r="C96" s="209"/>
      <c r="D96" s="206" t="s">
        <v>3</v>
      </c>
      <c r="E96" s="207"/>
      <c r="F96" s="208"/>
    </row>
    <row r="97" spans="2:6" ht="12.75">
      <c r="B97" s="209"/>
      <c r="C97" s="210"/>
      <c r="D97" s="169">
        <v>0</v>
      </c>
      <c r="E97" s="169">
        <f>D97+1</f>
        <v>1</v>
      </c>
      <c r="F97" s="205" t="s">
        <v>2</v>
      </c>
    </row>
    <row r="98" spans="2:6" ht="12.75">
      <c r="B98" s="211"/>
      <c r="C98" s="212"/>
      <c r="D98" s="170">
        <f>AñoBase</f>
        <v>2008</v>
      </c>
      <c r="E98" s="170">
        <f>D98+1</f>
        <v>2009</v>
      </c>
      <c r="F98" s="205"/>
    </row>
    <row r="99" spans="2:6" ht="12.75">
      <c r="B99" s="172" t="s">
        <v>286</v>
      </c>
      <c r="C99" s="171"/>
      <c r="D99" s="176">
        <f>D87</f>
        <v>0</v>
      </c>
      <c r="E99" s="176">
        <f>IF(E$97&lt;6,D99*(1+$F87),IF(E$97&lt;11,D99*(1+$G87),IF(E$97&lt;16,D99*(1+$H87),D99*(1+$I87))))</f>
        <v>0</v>
      </c>
      <c r="F99" s="177">
        <f>SUM(D99:E99)</f>
        <v>0</v>
      </c>
    </row>
    <row r="100" spans="2:6" ht="12.75">
      <c r="B100" s="172" t="s">
        <v>287</v>
      </c>
      <c r="C100" s="171"/>
      <c r="D100" s="176">
        <f>D88</f>
        <v>0</v>
      </c>
      <c r="E100" s="176">
        <f>IF(E$97&lt;6,D100*(1+$F88),IF(E$97&lt;11,D100*(1+$G88),IF(E$97&lt;16,D100*(1+$H88),D100*(1+$I88))))</f>
        <v>0</v>
      </c>
      <c r="F100" s="177">
        <f>SUM(D100:E100)</f>
        <v>0</v>
      </c>
    </row>
    <row r="101" spans="2:6" ht="12.75">
      <c r="B101" s="172" t="s">
        <v>288</v>
      </c>
      <c r="C101" s="171"/>
      <c r="D101" s="176">
        <f>D89</f>
        <v>0</v>
      </c>
      <c r="E101" s="176">
        <f>IF(E$97&lt;6,D101*(1+$F89),IF(E$97&lt;11,D101*(1+$G89),IF(E$97&lt;16,D101*(1+$H89),D101*(1+$I89))))</f>
        <v>0</v>
      </c>
      <c r="F101" s="177">
        <f>SUM(D101:E101)</f>
        <v>0</v>
      </c>
    </row>
    <row r="102" spans="2:6" ht="12.75">
      <c r="B102" s="172" t="s">
        <v>289</v>
      </c>
      <c r="C102" s="171"/>
      <c r="D102" s="176">
        <f>D93</f>
        <v>0</v>
      </c>
      <c r="E102" s="176">
        <f>IF(E$97&lt;6,D102*(1+$H93),IF(E$97&lt;11,D102*(1+$I93),IF(E$97&lt;16,D102*(1+$J93),D102*(1+$K93))))</f>
        <v>0</v>
      </c>
      <c r="F102" s="177">
        <f>SUM(D102:E102)</f>
        <v>0</v>
      </c>
    </row>
    <row r="103" spans="2:6" ht="12.75">
      <c r="B103" s="213" t="s">
        <v>290</v>
      </c>
      <c r="C103" s="214"/>
      <c r="D103" s="176">
        <f>SUM(D99:D102)</f>
        <v>0</v>
      </c>
      <c r="E103" s="176">
        <f>SUM(E99:E102)</f>
        <v>0</v>
      </c>
      <c r="F103" s="177">
        <f>SUM(F99:F102)</f>
        <v>0</v>
      </c>
    </row>
    <row r="105" ht="15">
      <c r="B105" s="149" t="s">
        <v>319</v>
      </c>
    </row>
    <row r="106" spans="2:6" ht="12.75" customHeight="1">
      <c r="B106" s="209" t="s">
        <v>267</v>
      </c>
      <c r="C106" s="209"/>
      <c r="D106" s="206" t="s">
        <v>3</v>
      </c>
      <c r="E106" s="207"/>
      <c r="F106" s="208"/>
    </row>
    <row r="107" spans="2:6" ht="12.75">
      <c r="B107" s="209"/>
      <c r="C107" s="210"/>
      <c r="D107" s="169">
        <v>0</v>
      </c>
      <c r="E107" s="169">
        <f>D107+1</f>
        <v>1</v>
      </c>
      <c r="F107" s="205" t="s">
        <v>2</v>
      </c>
    </row>
    <row r="108" spans="2:6" ht="12.75">
      <c r="B108" s="211"/>
      <c r="C108" s="212"/>
      <c r="D108" s="170">
        <f>AñoBase</f>
        <v>2008</v>
      </c>
      <c r="E108" s="170">
        <f>D108+1</f>
        <v>2009</v>
      </c>
      <c r="F108" s="205"/>
    </row>
    <row r="109" spans="2:6" ht="12.75">
      <c r="B109" s="172" t="s">
        <v>291</v>
      </c>
      <c r="C109" s="171"/>
      <c r="D109" s="176">
        <f>E87*12</f>
        <v>0</v>
      </c>
      <c r="E109" s="176">
        <f>IF(E$107&lt;6,D109*(1+$J87),IF(E$107&lt;11,D109*(1+$K87),IF(E$107&lt;16,D109*(1+$L87),D109*(1+$M87))))</f>
        <v>0</v>
      </c>
      <c r="F109" s="177">
        <f>SUM(D109:E109)</f>
        <v>0</v>
      </c>
    </row>
    <row r="110" spans="2:6" ht="12.75">
      <c r="B110" s="172" t="s">
        <v>292</v>
      </c>
      <c r="C110" s="171"/>
      <c r="D110" s="176">
        <f>E88*12</f>
        <v>0</v>
      </c>
      <c r="E110" s="176">
        <f>IF(E$107&lt;6,D110*(1+$J88),IF(E$107&lt;11,D110*(1+$K88),IF(E$107&lt;16,D110*(1+$L88),D110*(1+$M88))))</f>
        <v>0</v>
      </c>
      <c r="F110" s="177">
        <f>SUM(D110:E110)</f>
        <v>0</v>
      </c>
    </row>
    <row r="111" spans="2:6" ht="12.75">
      <c r="B111" s="172" t="s">
        <v>293</v>
      </c>
      <c r="C111" s="171"/>
      <c r="D111" s="176">
        <f>E89*12</f>
        <v>0</v>
      </c>
      <c r="E111" s="176">
        <f>IF(E$107&lt;6,D111*(1+$J89),IF(E$107&lt;11,D111*(1+$K89),IF(E$107&lt;16,D111*(1+$L89),D111*(1+$M89))))</f>
        <v>0</v>
      </c>
      <c r="F111" s="177">
        <f>SUM(D111:E111)</f>
        <v>0</v>
      </c>
    </row>
    <row r="112" spans="2:6" ht="12.75">
      <c r="B112" s="172" t="s">
        <v>261</v>
      </c>
      <c r="C112" s="171"/>
      <c r="D112" s="176">
        <f>$G$93</f>
        <v>0</v>
      </c>
      <c r="E112" s="176">
        <f>$G$93</f>
        <v>0</v>
      </c>
      <c r="F112" s="177">
        <f>SUM(D112:E112)</f>
        <v>0</v>
      </c>
    </row>
    <row r="113" spans="2:6" ht="12.75">
      <c r="B113" s="213" t="s">
        <v>294</v>
      </c>
      <c r="C113" s="214"/>
      <c r="D113" s="176">
        <f>SUM(D109:D112)</f>
        <v>0</v>
      </c>
      <c r="E113" s="176">
        <f>SUM(E109:E112)</f>
        <v>0</v>
      </c>
      <c r="F113" s="177">
        <f>SUM(F109:F112)</f>
        <v>0</v>
      </c>
    </row>
    <row r="115" ht="15">
      <c r="B115" s="149" t="s">
        <v>266</v>
      </c>
    </row>
    <row r="116" spans="2:6" ht="12.75" customHeight="1">
      <c r="B116" s="209" t="s">
        <v>267</v>
      </c>
      <c r="C116" s="209"/>
      <c r="D116" s="206" t="s">
        <v>3</v>
      </c>
      <c r="E116" s="207"/>
      <c r="F116" s="208"/>
    </row>
    <row r="117" spans="2:6" ht="12.75">
      <c r="B117" s="209"/>
      <c r="C117" s="210"/>
      <c r="D117" s="169">
        <v>0</v>
      </c>
      <c r="E117" s="169">
        <f>D117+1</f>
        <v>1</v>
      </c>
      <c r="F117" s="205" t="s">
        <v>2</v>
      </c>
    </row>
    <row r="118" spans="2:6" ht="12.75">
      <c r="B118" s="211"/>
      <c r="C118" s="212"/>
      <c r="D118" s="170">
        <f>AñoBase</f>
        <v>2008</v>
      </c>
      <c r="E118" s="170">
        <f>D118+1</f>
        <v>2009</v>
      </c>
      <c r="F118" s="205"/>
    </row>
    <row r="119" spans="2:6" ht="12.75">
      <c r="B119" s="172" t="s">
        <v>295</v>
      </c>
      <c r="C119" s="171"/>
      <c r="D119" s="176">
        <f aca="true" t="shared" si="0" ref="D119:E122">D99*D109</f>
        <v>0</v>
      </c>
      <c r="E119" s="176">
        <f t="shared" si="0"/>
        <v>0</v>
      </c>
      <c r="F119" s="177">
        <f>SUM(D119:E119)</f>
        <v>0</v>
      </c>
    </row>
    <row r="120" spans="2:6" ht="12.75">
      <c r="B120" s="172" t="s">
        <v>296</v>
      </c>
      <c r="C120" s="171"/>
      <c r="D120" s="176">
        <f t="shared" si="0"/>
        <v>0</v>
      </c>
      <c r="E120" s="176">
        <f t="shared" si="0"/>
        <v>0</v>
      </c>
      <c r="F120" s="177">
        <f>SUM(D120:E120)</f>
        <v>0</v>
      </c>
    </row>
    <row r="121" spans="2:6" ht="12.75">
      <c r="B121" s="172" t="s">
        <v>297</v>
      </c>
      <c r="C121" s="171"/>
      <c r="D121" s="176">
        <f t="shared" si="0"/>
        <v>0</v>
      </c>
      <c r="E121" s="176">
        <f t="shared" si="0"/>
        <v>0</v>
      </c>
      <c r="F121" s="177">
        <f>SUM(D121:E121)</f>
        <v>0</v>
      </c>
    </row>
    <row r="122" spans="2:6" ht="12.75">
      <c r="B122" s="172" t="s">
        <v>261</v>
      </c>
      <c r="C122" s="171"/>
      <c r="D122" s="176">
        <f t="shared" si="0"/>
        <v>0</v>
      </c>
      <c r="E122" s="176">
        <f t="shared" si="0"/>
        <v>0</v>
      </c>
      <c r="F122" s="177">
        <f>SUM(D122:E122)</f>
        <v>0</v>
      </c>
    </row>
    <row r="123" spans="2:6" ht="12.75">
      <c r="B123" s="213" t="s">
        <v>284</v>
      </c>
      <c r="C123" s="214"/>
      <c r="D123" s="176">
        <f>SUM(D119:D122)</f>
        <v>0</v>
      </c>
      <c r="E123" s="176">
        <f>SUM(E119:E122)</f>
        <v>0</v>
      </c>
      <c r="F123" s="177">
        <f>SUM(F119:F122)</f>
        <v>0</v>
      </c>
    </row>
    <row r="125" spans="2:6" ht="15">
      <c r="B125" s="149" t="s">
        <v>320</v>
      </c>
      <c r="C125" s="72"/>
      <c r="D125" s="72"/>
      <c r="E125" s="72"/>
      <c r="F125" s="72"/>
    </row>
    <row r="126" spans="2:6" ht="12.75">
      <c r="B126" s="233" t="s">
        <v>101</v>
      </c>
      <c r="C126" s="233" t="s">
        <v>102</v>
      </c>
      <c r="D126" s="233" t="s">
        <v>103</v>
      </c>
      <c r="E126" s="233" t="s">
        <v>109</v>
      </c>
      <c r="F126" s="234" t="s">
        <v>5</v>
      </c>
    </row>
    <row r="127" spans="2:6" ht="13.5" thickBot="1">
      <c r="B127" s="233"/>
      <c r="C127" s="233"/>
      <c r="D127" s="233"/>
      <c r="E127" s="233"/>
      <c r="F127" s="234"/>
    </row>
    <row r="128" spans="2:7" ht="13.5" thickBot="1">
      <c r="B128" s="74" t="s">
        <v>104</v>
      </c>
      <c r="C128" s="75"/>
      <c r="D128" s="75"/>
      <c r="E128" s="75"/>
      <c r="F128" s="76">
        <f aca="true" t="shared" si="1" ref="F128:F135">D128*E128</f>
        <v>0</v>
      </c>
      <c r="G128" s="109" t="s">
        <v>162</v>
      </c>
    </row>
    <row r="129" spans="2:7" ht="13.5" thickBot="1">
      <c r="B129" s="74" t="s">
        <v>105</v>
      </c>
      <c r="C129" s="75"/>
      <c r="D129" s="75"/>
      <c r="E129" s="75"/>
      <c r="F129" s="76">
        <f t="shared" si="1"/>
        <v>0</v>
      </c>
      <c r="G129" s="109" t="s">
        <v>162</v>
      </c>
    </row>
    <row r="130" spans="2:7" ht="13.5" thickBot="1">
      <c r="B130" s="74" t="s">
        <v>106</v>
      </c>
      <c r="C130" s="75"/>
      <c r="D130" s="75"/>
      <c r="E130" s="75"/>
      <c r="F130" s="76">
        <f t="shared" si="1"/>
        <v>0</v>
      </c>
      <c r="G130" s="109" t="s">
        <v>162</v>
      </c>
    </row>
    <row r="131" spans="2:7" ht="13.5" thickBot="1">
      <c r="B131" s="74" t="s">
        <v>107</v>
      </c>
      <c r="C131" s="75"/>
      <c r="D131" s="75"/>
      <c r="E131" s="75"/>
      <c r="F131" s="76">
        <f t="shared" si="1"/>
        <v>0</v>
      </c>
      <c r="G131" s="109" t="s">
        <v>163</v>
      </c>
    </row>
    <row r="132" spans="2:7" ht="13.5" thickBot="1">
      <c r="B132" s="74" t="s">
        <v>169</v>
      </c>
      <c r="C132" s="75"/>
      <c r="D132" s="75"/>
      <c r="E132" s="75"/>
      <c r="F132" s="76">
        <f t="shared" si="1"/>
        <v>0</v>
      </c>
      <c r="G132" s="109" t="s">
        <v>164</v>
      </c>
    </row>
    <row r="133" spans="2:7" ht="13.5" thickBot="1">
      <c r="B133" s="74" t="s">
        <v>108</v>
      </c>
      <c r="C133" s="75"/>
      <c r="D133" s="75"/>
      <c r="E133" s="75"/>
      <c r="F133" s="76">
        <f t="shared" si="1"/>
        <v>0</v>
      </c>
      <c r="G133" s="109" t="s">
        <v>164</v>
      </c>
    </row>
    <row r="134" spans="2:7" ht="13.5" thickBot="1">
      <c r="B134" s="74" t="s">
        <v>321</v>
      </c>
      <c r="C134" s="75"/>
      <c r="D134" s="75"/>
      <c r="E134" s="75"/>
      <c r="F134" s="76">
        <f t="shared" si="1"/>
        <v>0</v>
      </c>
      <c r="G134" s="109" t="s">
        <v>191</v>
      </c>
    </row>
    <row r="135" spans="2:10" ht="13.5" customHeight="1" thickBot="1">
      <c r="B135" s="190" t="s">
        <v>134</v>
      </c>
      <c r="C135" s="75"/>
      <c r="D135" s="75"/>
      <c r="E135" s="75"/>
      <c r="F135" s="76">
        <f t="shared" si="1"/>
        <v>0</v>
      </c>
      <c r="G135" s="204" t="s">
        <v>272</v>
      </c>
      <c r="H135" s="203"/>
      <c r="I135" s="203"/>
      <c r="J135" s="201"/>
    </row>
    <row r="136" spans="2:10" ht="13.5" thickBot="1">
      <c r="B136" s="223" t="s">
        <v>177</v>
      </c>
      <c r="C136" s="224"/>
      <c r="D136" s="224"/>
      <c r="E136" s="225"/>
      <c r="F136" s="77">
        <f>SUM(F128:F135)</f>
        <v>0</v>
      </c>
      <c r="G136" s="202"/>
      <c r="H136" s="196"/>
      <c r="I136" s="196"/>
      <c r="J136" s="197"/>
    </row>
    <row r="138" spans="2:6" ht="15.75" thickBot="1">
      <c r="B138" s="149" t="s">
        <v>283</v>
      </c>
      <c r="C138" s="72"/>
      <c r="D138" s="72"/>
      <c r="E138" s="72"/>
      <c r="F138" s="72"/>
    </row>
    <row r="139" spans="2:8" ht="12.75">
      <c r="B139" s="226" t="s">
        <v>101</v>
      </c>
      <c r="C139" s="198" t="s">
        <v>111</v>
      </c>
      <c r="D139" s="199"/>
      <c r="E139" s="199"/>
      <c r="F139" s="200"/>
      <c r="G139" s="226" t="s">
        <v>110</v>
      </c>
      <c r="H139" s="226" t="s">
        <v>116</v>
      </c>
    </row>
    <row r="140" spans="2:8" ht="13.5" thickBot="1">
      <c r="B140" s="227"/>
      <c r="C140" s="193"/>
      <c r="D140" s="194"/>
      <c r="E140" s="194"/>
      <c r="F140" s="195"/>
      <c r="G140" s="227"/>
      <c r="H140" s="227"/>
    </row>
    <row r="141" spans="2:11" ht="12.75">
      <c r="B141" s="78" t="s">
        <v>104</v>
      </c>
      <c r="C141" s="235" t="s">
        <v>112</v>
      </c>
      <c r="D141" s="235"/>
      <c r="E141" s="235"/>
      <c r="F141" s="235"/>
      <c r="G141" s="114">
        <v>0.045</v>
      </c>
      <c r="H141" s="110" t="s">
        <v>117</v>
      </c>
      <c r="I141" s="268" t="s">
        <v>176</v>
      </c>
      <c r="J141" s="269"/>
      <c r="K141" s="270"/>
    </row>
    <row r="142" spans="2:11" ht="12.75">
      <c r="B142" s="79" t="s">
        <v>105</v>
      </c>
      <c r="C142" s="267" t="s">
        <v>114</v>
      </c>
      <c r="D142" s="267"/>
      <c r="E142" s="267"/>
      <c r="F142" s="267"/>
      <c r="G142" s="115">
        <v>0.192</v>
      </c>
      <c r="H142" s="111" t="s">
        <v>120</v>
      </c>
      <c r="I142" s="271"/>
      <c r="J142" s="272"/>
      <c r="K142" s="273"/>
    </row>
    <row r="143" spans="2:11" ht="12.75">
      <c r="B143" s="79" t="s">
        <v>106</v>
      </c>
      <c r="C143" s="267" t="s">
        <v>115</v>
      </c>
      <c r="D143" s="267"/>
      <c r="E143" s="267"/>
      <c r="F143" s="267"/>
      <c r="G143" s="115">
        <v>0.056</v>
      </c>
      <c r="H143" s="111" t="s">
        <v>119</v>
      </c>
      <c r="I143" s="271"/>
      <c r="J143" s="272"/>
      <c r="K143" s="273"/>
    </row>
    <row r="144" spans="2:11" ht="12.75" customHeight="1">
      <c r="B144" s="79" t="s">
        <v>107</v>
      </c>
      <c r="C144" s="263" t="s">
        <v>172</v>
      </c>
      <c r="D144" s="264"/>
      <c r="E144" s="264"/>
      <c r="F144" s="265"/>
      <c r="G144" s="115">
        <v>2</v>
      </c>
      <c r="H144" s="111" t="s">
        <v>135</v>
      </c>
      <c r="I144" s="271"/>
      <c r="J144" s="272"/>
      <c r="K144" s="273"/>
    </row>
    <row r="145" spans="2:11" ht="12.75" customHeight="1">
      <c r="B145" s="93" t="s">
        <v>169</v>
      </c>
      <c r="C145" s="263" t="s">
        <v>170</v>
      </c>
      <c r="D145" s="264"/>
      <c r="E145" s="264"/>
      <c r="F145" s="265"/>
      <c r="G145" s="116">
        <v>3.33</v>
      </c>
      <c r="H145" s="112" t="s">
        <v>171</v>
      </c>
      <c r="I145" s="271"/>
      <c r="J145" s="272"/>
      <c r="K145" s="273"/>
    </row>
    <row r="146" spans="2:11" ht="12.75">
      <c r="B146" s="93" t="s">
        <v>108</v>
      </c>
      <c r="C146" s="246" t="s">
        <v>113</v>
      </c>
      <c r="D146" s="246"/>
      <c r="E146" s="246"/>
      <c r="F146" s="246"/>
      <c r="G146" s="116">
        <v>0.8</v>
      </c>
      <c r="H146" s="112" t="s">
        <v>118</v>
      </c>
      <c r="I146" s="271"/>
      <c r="J146" s="272"/>
      <c r="K146" s="273"/>
    </row>
    <row r="147" spans="2:11" ht="12.75" customHeight="1" thickBot="1">
      <c r="B147" s="93" t="s">
        <v>321</v>
      </c>
      <c r="C147" s="246" t="s">
        <v>183</v>
      </c>
      <c r="D147" s="246"/>
      <c r="E147" s="246"/>
      <c r="F147" s="246"/>
      <c r="G147" s="116">
        <v>127.11</v>
      </c>
      <c r="H147" s="112" t="s">
        <v>173</v>
      </c>
      <c r="I147" s="274"/>
      <c r="J147" s="275"/>
      <c r="K147" s="276"/>
    </row>
    <row r="148" spans="2:8" ht="13.5" thickBot="1">
      <c r="B148" s="80" t="s">
        <v>134</v>
      </c>
      <c r="C148" s="266" t="s">
        <v>138</v>
      </c>
      <c r="D148" s="266"/>
      <c r="E148" s="266"/>
      <c r="F148" s="266"/>
      <c r="G148" s="81">
        <v>1</v>
      </c>
      <c r="H148" s="82"/>
    </row>
    <row r="149" spans="2:6" ht="12.75">
      <c r="B149" s="72"/>
      <c r="C149" s="72"/>
      <c r="D149" s="72"/>
      <c r="E149" s="72"/>
      <c r="F149" s="72"/>
    </row>
    <row r="150" spans="2:6" ht="12.75">
      <c r="B150" s="74" t="s">
        <v>121</v>
      </c>
      <c r="C150" s="113">
        <f>(D128*G141+D129*G142+D130*G143+D131*G144+D132*G145+D133*G146+D134*G147+D135*G148)</f>
        <v>0</v>
      </c>
      <c r="D150" s="74" t="s">
        <v>136</v>
      </c>
      <c r="E150" s="72"/>
      <c r="F150" s="109" t="s">
        <v>178</v>
      </c>
    </row>
    <row r="151" spans="2:6" ht="12.75">
      <c r="B151" s="74" t="s">
        <v>122</v>
      </c>
      <c r="C151" s="113">
        <f>IF(C150&gt;0,F136/C150,0)</f>
        <v>0</v>
      </c>
      <c r="D151" s="74" t="s">
        <v>137</v>
      </c>
      <c r="E151" s="72"/>
      <c r="F151" s="109" t="s">
        <v>179</v>
      </c>
    </row>
    <row r="152" spans="2:12" ht="12.75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2:12" ht="12.75" hidden="1">
      <c r="B153" s="83" t="s">
        <v>87</v>
      </c>
      <c r="C153" s="83"/>
      <c r="D153" s="83"/>
      <c r="E153" s="83"/>
      <c r="F153" s="83"/>
      <c r="G153" s="5"/>
      <c r="H153" s="83" t="s">
        <v>88</v>
      </c>
      <c r="I153" s="83"/>
      <c r="J153" s="83"/>
      <c r="K153" s="83"/>
      <c r="L153" s="83"/>
    </row>
    <row r="154" spans="2:12" ht="12.75" hidden="1">
      <c r="B154" s="83" t="s">
        <v>89</v>
      </c>
      <c r="C154" s="83"/>
      <c r="D154" s="83"/>
      <c r="E154" s="83"/>
      <c r="F154" s="83"/>
      <c r="G154" s="5"/>
      <c r="H154" s="83" t="s">
        <v>90</v>
      </c>
      <c r="I154" s="83"/>
      <c r="J154" s="83"/>
      <c r="K154" s="83"/>
      <c r="L154" s="83"/>
    </row>
    <row r="155" spans="2:12" ht="12.75" hidden="1">
      <c r="B155" s="84" t="s">
        <v>91</v>
      </c>
      <c r="C155" s="232" t="s">
        <v>92</v>
      </c>
      <c r="D155" s="232"/>
      <c r="E155" s="232"/>
      <c r="F155" s="232"/>
      <c r="G155" s="5"/>
      <c r="H155" s="84" t="s">
        <v>91</v>
      </c>
      <c r="I155" s="232" t="s">
        <v>92</v>
      </c>
      <c r="J155" s="232"/>
      <c r="K155" s="232"/>
      <c r="L155" s="232"/>
    </row>
    <row r="156" spans="2:12" ht="12.75" hidden="1">
      <c r="B156" s="84" t="s">
        <v>93</v>
      </c>
      <c r="C156" s="85">
        <v>1</v>
      </c>
      <c r="D156" s="85">
        <v>2</v>
      </c>
      <c r="E156" s="85">
        <v>3</v>
      </c>
      <c r="F156" s="85">
        <v>4</v>
      </c>
      <c r="G156" s="5"/>
      <c r="H156" s="84" t="s">
        <v>93</v>
      </c>
      <c r="I156" s="85">
        <v>1</v>
      </c>
      <c r="J156" s="85">
        <v>2</v>
      </c>
      <c r="K156" s="85">
        <v>3</v>
      </c>
      <c r="L156" s="85">
        <v>4</v>
      </c>
    </row>
    <row r="157" spans="2:12" ht="12.75" hidden="1">
      <c r="B157" s="84" t="s">
        <v>94</v>
      </c>
      <c r="C157" s="86">
        <v>0.01</v>
      </c>
      <c r="D157" s="86">
        <v>0.007</v>
      </c>
      <c r="E157" s="86">
        <v>0.005</v>
      </c>
      <c r="F157" s="86">
        <v>0</v>
      </c>
      <c r="G157" s="5"/>
      <c r="H157" s="84" t="s">
        <v>94</v>
      </c>
      <c r="I157" s="86">
        <v>0.025</v>
      </c>
      <c r="J157" s="86">
        <v>0.0175</v>
      </c>
      <c r="K157" s="86">
        <v>0.0125</v>
      </c>
      <c r="L157" s="86">
        <v>0</v>
      </c>
    </row>
    <row r="158" spans="2:12" ht="12.75" hidden="1">
      <c r="B158" s="84" t="s">
        <v>95</v>
      </c>
      <c r="C158" s="86">
        <v>0.009</v>
      </c>
      <c r="D158" s="86">
        <v>0.006</v>
      </c>
      <c r="E158" s="86">
        <v>0.004</v>
      </c>
      <c r="F158" s="86">
        <v>0</v>
      </c>
      <c r="G158" s="5"/>
      <c r="H158" s="84" t="s">
        <v>95</v>
      </c>
      <c r="I158" s="86">
        <v>0.0225</v>
      </c>
      <c r="J158" s="86">
        <v>0.015</v>
      </c>
      <c r="K158" s="86">
        <v>0.01</v>
      </c>
      <c r="L158" s="86">
        <v>0</v>
      </c>
    </row>
    <row r="159" spans="2:12" ht="12.75" hidden="1">
      <c r="B159" s="84" t="s">
        <v>96</v>
      </c>
      <c r="C159" s="86">
        <v>0.008</v>
      </c>
      <c r="D159" s="86">
        <v>0.005</v>
      </c>
      <c r="E159" s="86">
        <v>0</v>
      </c>
      <c r="F159" s="86">
        <v>0</v>
      </c>
      <c r="G159" s="5"/>
      <c r="H159" s="84" t="s">
        <v>96</v>
      </c>
      <c r="I159" s="86">
        <v>0.02</v>
      </c>
      <c r="J159" s="86">
        <v>0.0125</v>
      </c>
      <c r="K159" s="86">
        <v>0</v>
      </c>
      <c r="L159" s="86">
        <v>0</v>
      </c>
    </row>
    <row r="160" spans="2:12" ht="12.75" hidden="1">
      <c r="B160" s="84" t="s">
        <v>97</v>
      </c>
      <c r="C160" s="86">
        <v>0.007</v>
      </c>
      <c r="D160" s="86">
        <v>0</v>
      </c>
      <c r="E160" s="86">
        <v>0</v>
      </c>
      <c r="F160" s="86">
        <v>0</v>
      </c>
      <c r="G160" s="5"/>
      <c r="H160" s="84" t="s">
        <v>97</v>
      </c>
      <c r="I160" s="86">
        <v>0.0175</v>
      </c>
      <c r="J160" s="86">
        <v>0</v>
      </c>
      <c r="K160" s="86">
        <v>0</v>
      </c>
      <c r="L160" s="86">
        <v>0</v>
      </c>
    </row>
    <row r="161" spans="2:12" ht="12.75">
      <c r="B161" s="73"/>
      <c r="C161" s="73"/>
      <c r="D161" s="73"/>
      <c r="E161" s="73"/>
      <c r="F161" s="73"/>
      <c r="G161" s="72"/>
      <c r="H161" s="72"/>
      <c r="I161" s="72"/>
      <c r="J161" s="72"/>
      <c r="K161" s="72"/>
      <c r="L161" s="72"/>
    </row>
    <row r="162" ht="12.75">
      <c r="L162" s="72"/>
    </row>
    <row r="163" ht="25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spans="8:12" ht="12.75">
      <c r="H171" s="72"/>
      <c r="I171" s="72"/>
      <c r="J171" s="72"/>
      <c r="K171" s="72"/>
      <c r="L171" s="72"/>
    </row>
    <row r="172" spans="8:12" ht="12.75">
      <c r="H172" s="72"/>
      <c r="I172" s="72"/>
      <c r="J172" s="72"/>
      <c r="K172" s="72"/>
      <c r="L172" s="72"/>
    </row>
    <row r="173" spans="8:12" ht="12.75">
      <c r="H173" s="72"/>
      <c r="I173" s="72"/>
      <c r="J173" s="72"/>
      <c r="K173" s="72"/>
      <c r="L173" s="72"/>
    </row>
    <row r="174" spans="8:12" ht="12.75">
      <c r="H174" s="72"/>
      <c r="I174" s="72"/>
      <c r="J174" s="72"/>
      <c r="K174" s="72"/>
      <c r="L174" s="72"/>
    </row>
    <row r="175" spans="8:12" ht="27" customHeight="1">
      <c r="H175" s="72"/>
      <c r="I175" s="72"/>
      <c r="J175" s="72"/>
      <c r="K175" s="72"/>
      <c r="L175" s="72"/>
    </row>
    <row r="176" spans="8:12" ht="27" customHeight="1">
      <c r="H176" s="72"/>
      <c r="I176" s="72"/>
      <c r="J176" s="72"/>
      <c r="K176" s="72"/>
      <c r="L176" s="72"/>
    </row>
    <row r="177" spans="8:12" ht="27" customHeight="1">
      <c r="H177" s="72"/>
      <c r="I177" s="72"/>
      <c r="J177" s="72"/>
      <c r="K177" s="72"/>
      <c r="L177" s="72"/>
    </row>
    <row r="178" spans="8:12" ht="27" customHeight="1">
      <c r="H178" s="72"/>
      <c r="I178" s="72"/>
      <c r="J178" s="72"/>
      <c r="K178" s="72"/>
      <c r="L178" s="72"/>
    </row>
    <row r="179" spans="8:12" ht="27" customHeight="1">
      <c r="H179" s="72"/>
      <c r="I179" s="72"/>
      <c r="J179" s="72"/>
      <c r="K179" s="72"/>
      <c r="L179" s="72"/>
    </row>
    <row r="180" spans="8:12" ht="12.75">
      <c r="H180" s="72"/>
      <c r="I180" s="72"/>
      <c r="J180" s="72"/>
      <c r="K180" s="72"/>
      <c r="L180" s="72"/>
    </row>
    <row r="181" spans="8:12" ht="12.75">
      <c r="H181" s="72"/>
      <c r="I181" s="72"/>
      <c r="J181" s="72"/>
      <c r="K181" s="72"/>
      <c r="L181" s="72"/>
    </row>
    <row r="182" spans="8:12" ht="12.75">
      <c r="H182" s="72"/>
      <c r="I182" s="72"/>
      <c r="J182" s="72"/>
      <c r="K182" s="72"/>
      <c r="L182" s="72"/>
    </row>
    <row r="183" spans="2:12" ht="12.75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9" spans="2:12" ht="12.75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2:12" ht="12.75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2:12" ht="12.75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2:12" ht="12.75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2:12" ht="12.75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2:12" ht="12.75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2:12" ht="12.75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2:12" ht="12.75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2:12" ht="12.75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2:12" ht="12.75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2:12" ht="12.75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2:12" ht="12.75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2:12" ht="12.75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2:12" ht="12.75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2:12" ht="12.75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2:12" ht="12.75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2:12" ht="12.75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</row>
    <row r="206" spans="2:12" ht="12.75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2:12" ht="12.75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2:12" ht="12.75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2:12" ht="12.75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2:12" ht="12.75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2:12" ht="12.75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2:12" ht="12.75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2:12" ht="12.75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2:12" ht="12.75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2:12" ht="12.75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2:12" ht="12.75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2:12" ht="12.75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</row>
    <row r="218" spans="2:12" ht="12.75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</row>
    <row r="219" spans="2:12" ht="12.75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</row>
    <row r="220" spans="2:12" ht="12.75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</row>
    <row r="221" spans="2:12" ht="12.75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</row>
    <row r="222" spans="2:12" ht="12.75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2:12" ht="12.75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2:12" ht="12.75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</row>
    <row r="225" spans="2:12" ht="12.75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</row>
    <row r="226" spans="2:12" ht="12.75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</row>
    <row r="227" spans="2:12" ht="12.75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</row>
    <row r="228" spans="2:12" ht="12.75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</row>
    <row r="229" spans="2:12" ht="12.75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</row>
    <row r="230" spans="2:12" ht="12.75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</row>
    <row r="231" spans="2:12" ht="12.75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</row>
    <row r="232" spans="2:12" ht="12.75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</row>
    <row r="233" spans="2:12" ht="12.75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</row>
    <row r="234" spans="2:12" ht="12.75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</row>
    <row r="235" spans="2:12" ht="12.75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</row>
    <row r="236" spans="2:12" ht="12.75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</row>
    <row r="237" spans="2:12" ht="12.75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</row>
  </sheetData>
  <sheetProtection sheet="1" objects="1" scenarios="1"/>
  <mergeCells count="73">
    <mergeCell ref="I141:K147"/>
    <mergeCell ref="K68:K69"/>
    <mergeCell ref="H22:I22"/>
    <mergeCell ref="H19:I19"/>
    <mergeCell ref="J19:K19"/>
    <mergeCell ref="J85:M85"/>
    <mergeCell ref="L91:M93"/>
    <mergeCell ref="C145:F145"/>
    <mergeCell ref="C146:F146"/>
    <mergeCell ref="C148:F148"/>
    <mergeCell ref="C142:F142"/>
    <mergeCell ref="C143:F143"/>
    <mergeCell ref="C144:F144"/>
    <mergeCell ref="I155:L155"/>
    <mergeCell ref="C147:F147"/>
    <mergeCell ref="B25:E25"/>
    <mergeCell ref="B6:D6"/>
    <mergeCell ref="B32:D32"/>
    <mergeCell ref="B15:K15"/>
    <mergeCell ref="B11:E11"/>
    <mergeCell ref="B13:K14"/>
    <mergeCell ref="B12:E12"/>
    <mergeCell ref="H68:I68"/>
    <mergeCell ref="G68:G69"/>
    <mergeCell ref="B70:C70"/>
    <mergeCell ref="K70:K71"/>
    <mergeCell ref="B71:C71"/>
    <mergeCell ref="B68:C69"/>
    <mergeCell ref="D68:D69"/>
    <mergeCell ref="E68:E69"/>
    <mergeCell ref="F68:F69"/>
    <mergeCell ref="B72:C72"/>
    <mergeCell ref="B73:C73"/>
    <mergeCell ref="B74:C74"/>
    <mergeCell ref="C155:F155"/>
    <mergeCell ref="B126:B127"/>
    <mergeCell ref="C126:C127"/>
    <mergeCell ref="D126:D127"/>
    <mergeCell ref="E126:E127"/>
    <mergeCell ref="F126:F127"/>
    <mergeCell ref="C141:F141"/>
    <mergeCell ref="B136:E136"/>
    <mergeCell ref="B139:B140"/>
    <mergeCell ref="G139:G140"/>
    <mergeCell ref="G135:J136"/>
    <mergeCell ref="H139:H140"/>
    <mergeCell ref="C139:F140"/>
    <mergeCell ref="D85:D86"/>
    <mergeCell ref="E85:E86"/>
    <mergeCell ref="F85:I85"/>
    <mergeCell ref="B96:C98"/>
    <mergeCell ref="D96:F96"/>
    <mergeCell ref="B85:C86"/>
    <mergeCell ref="B87:C87"/>
    <mergeCell ref="B88:C88"/>
    <mergeCell ref="B89:C89"/>
    <mergeCell ref="D91:D92"/>
    <mergeCell ref="F91:F92"/>
    <mergeCell ref="H91:K91"/>
    <mergeCell ref="E91:E92"/>
    <mergeCell ref="F97:F98"/>
    <mergeCell ref="G91:G92"/>
    <mergeCell ref="B103:C103"/>
    <mergeCell ref="B123:C123"/>
    <mergeCell ref="B91:C92"/>
    <mergeCell ref="B93:C93"/>
    <mergeCell ref="B116:C118"/>
    <mergeCell ref="F117:F118"/>
    <mergeCell ref="D116:F116"/>
    <mergeCell ref="B106:C108"/>
    <mergeCell ref="D106:F106"/>
    <mergeCell ref="F107:F108"/>
    <mergeCell ref="B113:C113"/>
  </mergeCells>
  <printOptions horizontalCentered="1" verticalCentered="1"/>
  <pageMargins left="0.75" right="0.75" top="1" bottom="1" header="0" footer="0"/>
  <pageSetup horizontalDpi="300" verticalDpi="300" orientation="landscape" scale="81" r:id="rId4"/>
  <headerFooter alignWithMargins="0">
    <oddFooter>&amp;L&amp;D&amp;RPágina &amp;P de &amp;N</oddFooter>
  </headerFooter>
  <rowBreaks count="2" manualBreakCount="2">
    <brk id="43" max="10" man="1"/>
    <brk id="124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B2:J115"/>
  <sheetViews>
    <sheetView showGridLines="0" showRowColHeaders="0" workbookViewId="0" topLeftCell="A1">
      <pane ySplit="3" topLeftCell="BM4" activePane="bottomLeft" state="frozen"/>
      <selection pane="topLeft" activeCell="F20" sqref="F20"/>
      <selection pane="bottomLeft" activeCell="A4" sqref="A4"/>
    </sheetView>
  </sheetViews>
  <sheetFormatPr defaultColWidth="11.421875" defaultRowHeight="12.75"/>
  <cols>
    <col min="1" max="1" width="0.85546875" style="0" customWidth="1"/>
    <col min="2" max="10" width="10.28125" style="0" customWidth="1"/>
  </cols>
  <sheetData>
    <row r="1" ht="13.5" customHeight="1"/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40.5" customHeight="1">
      <c r="B3" s="2"/>
      <c r="C3" s="2"/>
      <c r="D3" s="2"/>
      <c r="E3" s="2"/>
      <c r="F3" s="2"/>
      <c r="G3" s="2"/>
      <c r="H3" s="2"/>
      <c r="I3" s="2"/>
      <c r="J3" s="2"/>
    </row>
    <row r="4" spans="2:9" ht="20.25">
      <c r="B4" s="8" t="s">
        <v>322</v>
      </c>
      <c r="E4" s="10"/>
      <c r="F4" s="11"/>
      <c r="I4" s="6"/>
    </row>
    <row r="5" ht="16.5" customHeight="1">
      <c r="B5" s="9" t="s">
        <v>8</v>
      </c>
    </row>
    <row r="13" ht="18">
      <c r="B13" s="9" t="s">
        <v>9</v>
      </c>
    </row>
    <row r="21" ht="18">
      <c r="B21" s="9" t="s">
        <v>10</v>
      </c>
    </row>
    <row r="29" ht="18">
      <c r="B29" s="9" t="s">
        <v>11</v>
      </c>
    </row>
    <row r="37" spans="2:7" ht="13.5" customHeight="1">
      <c r="B37" s="15"/>
      <c r="C37" s="15"/>
      <c r="D37" s="15"/>
      <c r="E37" s="15"/>
      <c r="F37" s="16"/>
      <c r="G37" s="16"/>
    </row>
    <row r="38" ht="12.75">
      <c r="H38" s="6"/>
    </row>
    <row r="39" spans="2:5" ht="21.75" customHeight="1">
      <c r="B39" s="8"/>
      <c r="D39" s="10"/>
      <c r="E39" s="11"/>
    </row>
    <row r="40" ht="18">
      <c r="B40" s="9"/>
    </row>
    <row r="41" ht="16.5" customHeight="1"/>
    <row r="48" ht="18">
      <c r="B48" s="9"/>
    </row>
    <row r="57" ht="18">
      <c r="B57" s="9"/>
    </row>
    <row r="66" ht="18">
      <c r="B66" s="9"/>
    </row>
    <row r="75" spans="2:7" ht="12.75">
      <c r="B75" s="15"/>
      <c r="C75" s="15"/>
      <c r="D75" s="15"/>
      <c r="E75" s="15"/>
      <c r="F75" s="16"/>
      <c r="G75" s="16"/>
    </row>
    <row r="76" ht="13.5" customHeight="1"/>
    <row r="77" spans="2:7" ht="20.25">
      <c r="B77" s="8"/>
      <c r="C77" s="10"/>
      <c r="D77" s="11"/>
      <c r="G77" s="6"/>
    </row>
    <row r="78" ht="18">
      <c r="B78" s="9"/>
    </row>
    <row r="83" ht="13.5" customHeight="1"/>
    <row r="85" ht="16.5" customHeight="1"/>
    <row r="86" ht="18">
      <c r="B86" s="9"/>
    </row>
    <row r="95" ht="18">
      <c r="B95" s="9"/>
    </row>
    <row r="104" ht="18">
      <c r="B104" s="9"/>
    </row>
    <row r="114" spans="2:10" ht="12.75">
      <c r="B114" s="290"/>
      <c r="C114" s="290"/>
      <c r="D114" s="290"/>
      <c r="E114" s="290"/>
      <c r="F114" s="290"/>
      <c r="G114" s="290"/>
      <c r="H114" s="290"/>
      <c r="I114" s="290"/>
      <c r="J114" s="290"/>
    </row>
    <row r="115" spans="2:10" ht="13.5" customHeight="1">
      <c r="B115" s="290"/>
      <c r="C115" s="290"/>
      <c r="D115" s="290"/>
      <c r="E115" s="290"/>
      <c r="F115" s="290"/>
      <c r="G115" s="290"/>
      <c r="H115" s="290"/>
      <c r="I115" s="290"/>
      <c r="J115" s="290"/>
    </row>
    <row r="116" ht="13.5" customHeight="1"/>
    <row r="123" ht="13.5" customHeight="1"/>
  </sheetData>
  <sheetProtection sheet="1" objects="1" scenarios="1"/>
  <mergeCells count="1">
    <mergeCell ref="B114:J115"/>
  </mergeCells>
  <printOptions horizontalCentered="1" verticalCentered="1"/>
  <pageMargins left="0.75" right="0.75" top="1" bottom="0.2755905511811024" header="0" footer="0"/>
  <pageSetup horizontalDpi="300" verticalDpi="300" orientation="landscape" scale="83" r:id="rId3"/>
  <headerFooter alignWithMargins="0">
    <oddFooter>&amp;L&amp;D&amp;RPágina &amp;P de &amp;N</oddFooter>
  </headerFooter>
  <rowBreaks count="2" manualBreakCount="2">
    <brk id="38" max="255" man="1"/>
    <brk id="76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1:L135"/>
  <sheetViews>
    <sheetView showGridLines="0" showRowColHeaders="0" workbookViewId="0" topLeftCell="A1">
      <pane ySplit="3" topLeftCell="BM4" activePane="bottomLeft" state="frozen"/>
      <selection pane="topLeft" activeCell="C12" sqref="C12"/>
      <selection pane="bottomLeft" activeCell="A1" sqref="A1"/>
    </sheetView>
  </sheetViews>
  <sheetFormatPr defaultColWidth="11.421875" defaultRowHeight="12.75"/>
  <cols>
    <col min="1" max="1" width="0.85546875" style="0" customWidth="1"/>
    <col min="2" max="2" width="15.8515625" style="0" customWidth="1"/>
    <col min="3" max="3" width="13.7109375" style="0" customWidth="1"/>
  </cols>
  <sheetData>
    <row r="1" ht="13.5" customHeight="1">
      <c r="B1" s="128" t="b">
        <v>0</v>
      </c>
    </row>
    <row r="2" ht="13.5" customHeight="1"/>
    <row r="3" ht="40.5" customHeight="1"/>
    <row r="4" ht="20.25">
      <c r="B4" s="8" t="s">
        <v>12</v>
      </c>
    </row>
    <row r="5" spans="2:9" ht="12.75" customHeight="1">
      <c r="B5" s="355"/>
      <c r="C5" s="349" t="s">
        <v>168</v>
      </c>
      <c r="D5" s="349" t="s">
        <v>124</v>
      </c>
      <c r="F5" s="318" t="s">
        <v>312</v>
      </c>
      <c r="G5" s="319"/>
      <c r="H5" s="320"/>
      <c r="I5" s="345"/>
    </row>
    <row r="6" spans="2:9" ht="18" customHeight="1">
      <c r="B6" s="356"/>
      <c r="C6" s="350"/>
      <c r="D6" s="350"/>
      <c r="F6" s="321"/>
      <c r="G6" s="322"/>
      <c r="H6" s="323"/>
      <c r="I6" s="346"/>
    </row>
    <row r="7" spans="2:9" ht="12.75" customHeight="1">
      <c r="B7" s="349" t="s">
        <v>123</v>
      </c>
      <c r="C7" s="332">
        <f>PREPARACION!C150</f>
        <v>0</v>
      </c>
      <c r="D7" s="332">
        <f>PREPARACION!C151</f>
        <v>0</v>
      </c>
      <c r="F7" s="324" t="s">
        <v>318</v>
      </c>
      <c r="G7" s="325"/>
      <c r="H7" s="326"/>
      <c r="I7" s="347">
        <f>IF($F$26&gt;0,(DemandaInicial/$F$26)^(1/(años1-1))-1,0)</f>
        <v>0</v>
      </c>
    </row>
    <row r="8" spans="2:9" ht="17.25" customHeight="1">
      <c r="B8" s="354"/>
      <c r="C8" s="333"/>
      <c r="D8" s="333"/>
      <c r="F8" s="327"/>
      <c r="G8" s="328"/>
      <c r="H8" s="329"/>
      <c r="I8" s="348"/>
    </row>
    <row r="9" ht="17.25" customHeight="1"/>
    <row r="10" ht="17.25" customHeight="1" thickBot="1">
      <c r="B10" s="9" t="s">
        <v>28</v>
      </c>
    </row>
    <row r="11" spans="2:6" ht="13.5" thickBot="1">
      <c r="B11" s="302" t="s">
        <v>184</v>
      </c>
      <c r="C11" s="303"/>
      <c r="D11" s="303"/>
      <c r="E11" s="304"/>
      <c r="F11" s="59">
        <v>0.1281</v>
      </c>
    </row>
    <row r="12" spans="2:6" ht="13.5" customHeight="1" thickBot="1">
      <c r="B12" s="302" t="s">
        <v>165</v>
      </c>
      <c r="C12" s="303"/>
      <c r="D12" s="303"/>
      <c r="E12" s="304"/>
      <c r="F12" s="14"/>
    </row>
    <row r="13" spans="2:6" ht="13.5" customHeight="1" thickBot="1">
      <c r="B13" s="302" t="s">
        <v>310</v>
      </c>
      <c r="C13" s="303"/>
      <c r="D13" s="303"/>
      <c r="E13" s="304"/>
      <c r="F13" s="14"/>
    </row>
    <row r="14" spans="2:6" ht="13.5" customHeight="1" thickBot="1">
      <c r="B14" s="302" t="s">
        <v>311</v>
      </c>
      <c r="C14" s="303"/>
      <c r="D14" s="303"/>
      <c r="E14" s="304"/>
      <c r="F14" s="14"/>
    </row>
    <row r="15" spans="2:6" ht="12.75" customHeight="1" thickBot="1">
      <c r="B15" s="305" t="s">
        <v>212</v>
      </c>
      <c r="C15" s="305"/>
      <c r="D15" s="305"/>
      <c r="E15" s="305"/>
      <c r="F15" s="14"/>
    </row>
    <row r="16" spans="2:6" ht="12.75" customHeight="1" thickBot="1">
      <c r="B16" s="305" t="s">
        <v>317</v>
      </c>
      <c r="C16" s="305"/>
      <c r="D16" s="305"/>
      <c r="E16" s="305"/>
      <c r="F16" s="188"/>
    </row>
    <row r="17" spans="2:6" ht="12.75" customHeight="1" thickBot="1">
      <c r="B17" s="334" t="s">
        <v>313</v>
      </c>
      <c r="C17" s="335"/>
      <c r="D17" s="335"/>
      <c r="E17" s="336"/>
      <c r="F17" s="179"/>
    </row>
    <row r="18" spans="2:6" ht="12.75" customHeight="1" thickBot="1">
      <c r="B18" s="334" t="s">
        <v>308</v>
      </c>
      <c r="C18" s="335"/>
      <c r="D18" s="335"/>
      <c r="E18" s="336"/>
      <c r="F18" s="59">
        <v>0.05</v>
      </c>
    </row>
    <row r="19" spans="2:6" ht="13.5" customHeight="1" thickBot="1">
      <c r="B19" s="302" t="s">
        <v>185</v>
      </c>
      <c r="C19" s="303"/>
      <c r="D19" s="303"/>
      <c r="E19" s="304"/>
      <c r="F19" s="36">
        <f>cap1</f>
        <v>0</v>
      </c>
    </row>
    <row r="20" spans="2:6" ht="13.5" customHeight="1" thickBot="1">
      <c r="B20" s="302" t="s">
        <v>133</v>
      </c>
      <c r="C20" s="303"/>
      <c r="D20" s="303"/>
      <c r="E20" s="304"/>
      <c r="F20" s="14"/>
    </row>
    <row r="21" spans="2:6" ht="14.25" customHeight="1" thickBot="1">
      <c r="B21" s="9"/>
      <c r="D21" s="330" t="s">
        <v>131</v>
      </c>
      <c r="E21" s="331"/>
      <c r="F21" s="92">
        <f>F20</f>
        <v>0</v>
      </c>
    </row>
    <row r="22" ht="32.25" customHeight="1" thickBot="1">
      <c r="B22" s="9" t="s">
        <v>139</v>
      </c>
    </row>
    <row r="23" spans="2:6" ht="13.5" thickBot="1">
      <c r="B23" s="291" t="s">
        <v>1</v>
      </c>
      <c r="C23" s="292"/>
      <c r="D23" s="293"/>
      <c r="E23" s="309" t="s">
        <v>3</v>
      </c>
      <c r="F23" s="310"/>
    </row>
    <row r="24" spans="2:6" ht="12.75">
      <c r="B24" s="294"/>
      <c r="C24" s="295"/>
      <c r="D24" s="296"/>
      <c r="E24" s="34">
        <v>0</v>
      </c>
      <c r="F24" s="311" t="s">
        <v>2</v>
      </c>
    </row>
    <row r="25" spans="2:6" ht="13.5" thickBot="1">
      <c r="B25" s="297"/>
      <c r="C25" s="298"/>
      <c r="D25" s="299"/>
      <c r="E25" s="35">
        <f>AñoBase</f>
        <v>2008</v>
      </c>
      <c r="F25" s="312"/>
    </row>
    <row r="26" spans="2:7" ht="15" thickBot="1">
      <c r="B26" s="306" t="s">
        <v>180</v>
      </c>
      <c r="C26" s="307"/>
      <c r="D26" s="308"/>
      <c r="E26" s="98">
        <f>PREPARACION!D123</f>
        <v>0</v>
      </c>
      <c r="F26" s="140">
        <f>SUM(E26)</f>
        <v>0</v>
      </c>
      <c r="G26" s="48"/>
    </row>
    <row r="27" spans="2:12" ht="15" thickBot="1">
      <c r="B27" s="306" t="s">
        <v>181</v>
      </c>
      <c r="C27" s="307"/>
      <c r="D27" s="308"/>
      <c r="E27" s="95"/>
      <c r="F27" s="140">
        <f>SUM(E27)</f>
        <v>0</v>
      </c>
      <c r="G27" s="48"/>
      <c r="H27" s="48"/>
      <c r="I27" s="48"/>
      <c r="J27" s="48"/>
      <c r="K27" s="48"/>
      <c r="L27" s="48"/>
    </row>
    <row r="29" ht="18.75" thickBot="1">
      <c r="B29" s="9" t="s">
        <v>37</v>
      </c>
    </row>
    <row r="30" spans="2:6" ht="13.5" thickBot="1">
      <c r="B30" s="315" t="s">
        <v>299</v>
      </c>
      <c r="C30" s="316"/>
      <c r="D30" s="317"/>
      <c r="E30" s="98">
        <f>E26*Tarifa1</f>
        <v>0</v>
      </c>
      <c r="F30" s="98">
        <f>SUM(E30)</f>
        <v>0</v>
      </c>
    </row>
    <row r="31" spans="2:6" ht="13.5" thickBot="1">
      <c r="B31" s="315" t="s">
        <v>300</v>
      </c>
      <c r="C31" s="316"/>
      <c r="D31" s="317"/>
      <c r="E31" s="98"/>
      <c r="F31" s="98">
        <f>SUM(E31)</f>
        <v>0</v>
      </c>
    </row>
    <row r="32" spans="2:6" ht="13.5" thickBot="1">
      <c r="B32" s="315" t="s">
        <v>134</v>
      </c>
      <c r="C32" s="316"/>
      <c r="D32" s="317"/>
      <c r="E32" s="95"/>
      <c r="F32" s="98">
        <f>SUM(E32)</f>
        <v>0</v>
      </c>
    </row>
    <row r="33" spans="2:6" ht="13.5" thickBot="1">
      <c r="B33" s="351" t="s">
        <v>148</v>
      </c>
      <c r="C33" s="352"/>
      <c r="D33" s="353"/>
      <c r="E33" s="98">
        <f>SUM(E30:E32)</f>
        <v>0</v>
      </c>
      <c r="F33" s="98">
        <f>SUM(F30:F32)</f>
        <v>0</v>
      </c>
    </row>
    <row r="35" spans="2:3" ht="18.75" thickBot="1">
      <c r="B35" s="9" t="s">
        <v>14</v>
      </c>
      <c r="C35" s="191"/>
    </row>
    <row r="36" spans="2:6" ht="45.75" customHeight="1" thickBot="1">
      <c r="B36" s="136" t="s">
        <v>70</v>
      </c>
      <c r="C36" s="357" t="s">
        <v>205</v>
      </c>
      <c r="D36" s="358"/>
      <c r="E36" s="136" t="s">
        <v>221</v>
      </c>
      <c r="F36" s="135"/>
    </row>
    <row r="37" ht="13.5" thickBot="1">
      <c r="D37" s="144">
        <v>1</v>
      </c>
    </row>
    <row r="38" spans="2:5" ht="13.5" thickBot="1">
      <c r="B38" s="291" t="s">
        <v>1</v>
      </c>
      <c r="C38" s="293"/>
      <c r="D38" s="309" t="s">
        <v>3</v>
      </c>
      <c r="E38" s="310"/>
    </row>
    <row r="39" spans="2:5" ht="12.75">
      <c r="B39" s="294"/>
      <c r="C39" s="296"/>
      <c r="D39" s="29">
        <v>0</v>
      </c>
      <c r="E39" s="311" t="s">
        <v>2</v>
      </c>
    </row>
    <row r="40" spans="2:5" ht="13.5" thickBot="1">
      <c r="B40" s="297"/>
      <c r="C40" s="299"/>
      <c r="D40" s="30">
        <f>AñoBase</f>
        <v>2008</v>
      </c>
      <c r="E40" s="312"/>
    </row>
    <row r="41" spans="2:5" ht="13.5" thickBot="1">
      <c r="B41" s="45" t="s">
        <v>33</v>
      </c>
      <c r="C41" s="47"/>
      <c r="D41" s="42"/>
      <c r="E41" s="43"/>
    </row>
    <row r="42" spans="2:5" ht="13.5" thickBot="1">
      <c r="B42" s="300" t="s">
        <v>71</v>
      </c>
      <c r="C42" s="301"/>
      <c r="D42" s="99"/>
      <c r="E42" s="98">
        <f aca="true" t="shared" si="0" ref="E42:E48">SUM(D42:D42)</f>
        <v>0</v>
      </c>
    </row>
    <row r="43" spans="2:5" ht="13.5" thickBot="1">
      <c r="B43" s="300" t="s">
        <v>54</v>
      </c>
      <c r="C43" s="301"/>
      <c r="D43" s="99"/>
      <c r="E43" s="98">
        <f t="shared" si="0"/>
        <v>0</v>
      </c>
    </row>
    <row r="44" spans="2:5" ht="13.5" thickBot="1">
      <c r="B44" s="300" t="s">
        <v>53</v>
      </c>
      <c r="C44" s="301"/>
      <c r="D44" s="99"/>
      <c r="E44" s="98">
        <f t="shared" si="0"/>
        <v>0</v>
      </c>
    </row>
    <row r="45" spans="2:5" ht="13.5" thickBot="1">
      <c r="B45" s="300" t="s">
        <v>72</v>
      </c>
      <c r="C45" s="301"/>
      <c r="D45" s="99"/>
      <c r="E45" s="98">
        <f t="shared" si="0"/>
        <v>0</v>
      </c>
    </row>
    <row r="46" spans="2:5" ht="13.5" thickBot="1">
      <c r="B46" s="40" t="s">
        <v>73</v>
      </c>
      <c r="C46" s="41"/>
      <c r="D46" s="99"/>
      <c r="E46" s="98">
        <f t="shared" si="0"/>
        <v>0</v>
      </c>
    </row>
    <row r="47" spans="2:5" ht="13.5" thickBot="1">
      <c r="B47" s="300" t="s">
        <v>74</v>
      </c>
      <c r="C47" s="301"/>
      <c r="D47" s="99"/>
      <c r="E47" s="98">
        <f t="shared" si="0"/>
        <v>0</v>
      </c>
    </row>
    <row r="48" spans="2:5" ht="13.5" thickBot="1">
      <c r="B48" s="337" t="s">
        <v>4</v>
      </c>
      <c r="C48" s="338"/>
      <c r="D48" s="98">
        <f>SUM(D42:D47)</f>
        <v>0</v>
      </c>
      <c r="E48" s="98">
        <f t="shared" si="0"/>
        <v>0</v>
      </c>
    </row>
    <row r="49" spans="2:5" ht="13.5" thickBot="1">
      <c r="B49" s="45" t="s">
        <v>34</v>
      </c>
      <c r="C49" s="47"/>
      <c r="D49" s="42"/>
      <c r="E49" s="43"/>
    </row>
    <row r="50" spans="2:5" ht="13.5" thickBot="1">
      <c r="B50" s="300" t="s">
        <v>71</v>
      </c>
      <c r="C50" s="301"/>
      <c r="D50" s="99"/>
      <c r="E50" s="98">
        <f aca="true" t="shared" si="1" ref="E50:E56">SUM(D50:D50)</f>
        <v>0</v>
      </c>
    </row>
    <row r="51" spans="2:5" ht="13.5" thickBot="1">
      <c r="B51" s="300" t="s">
        <v>54</v>
      </c>
      <c r="C51" s="301"/>
      <c r="D51" s="99"/>
      <c r="E51" s="98">
        <f t="shared" si="1"/>
        <v>0</v>
      </c>
    </row>
    <row r="52" spans="2:5" ht="13.5" thickBot="1">
      <c r="B52" s="300" t="s">
        <v>53</v>
      </c>
      <c r="C52" s="301"/>
      <c r="D52" s="99"/>
      <c r="E52" s="98">
        <f t="shared" si="1"/>
        <v>0</v>
      </c>
    </row>
    <row r="53" spans="2:5" ht="13.5" thickBot="1">
      <c r="B53" s="300" t="s">
        <v>72</v>
      </c>
      <c r="C53" s="301"/>
      <c r="D53" s="99"/>
      <c r="E53" s="98">
        <f t="shared" si="1"/>
        <v>0</v>
      </c>
    </row>
    <row r="54" spans="2:5" ht="13.5" thickBot="1">
      <c r="B54" s="40" t="s">
        <v>73</v>
      </c>
      <c r="C54" s="41"/>
      <c r="D54" s="99"/>
      <c r="E54" s="98">
        <f t="shared" si="1"/>
        <v>0</v>
      </c>
    </row>
    <row r="55" spans="2:5" ht="13.5" thickBot="1">
      <c r="B55" s="300" t="s">
        <v>74</v>
      </c>
      <c r="C55" s="301"/>
      <c r="D55" s="99"/>
      <c r="E55" s="98">
        <f t="shared" si="1"/>
        <v>0</v>
      </c>
    </row>
    <row r="56" spans="2:5" ht="13.5" thickBot="1">
      <c r="B56" s="337" t="s">
        <v>4</v>
      </c>
      <c r="C56" s="338"/>
      <c r="D56" s="98">
        <f>SUM(D50:D55)</f>
        <v>0</v>
      </c>
      <c r="E56" s="98">
        <f t="shared" si="1"/>
        <v>0</v>
      </c>
    </row>
    <row r="57" spans="2:5" ht="13.5" thickBot="1">
      <c r="B57" s="45" t="s">
        <v>35</v>
      </c>
      <c r="C57" s="47"/>
      <c r="D57" s="42"/>
      <c r="E57" s="43"/>
    </row>
    <row r="58" spans="2:5" ht="13.5" thickBot="1">
      <c r="B58" s="300" t="s">
        <v>71</v>
      </c>
      <c r="C58" s="301"/>
      <c r="D58" s="99"/>
      <c r="E58" s="98">
        <f aca="true" t="shared" si="2" ref="E58:E64">SUM(D58:D58)</f>
        <v>0</v>
      </c>
    </row>
    <row r="59" spans="2:5" ht="13.5" thickBot="1">
      <c r="B59" s="300" t="s">
        <v>54</v>
      </c>
      <c r="C59" s="301"/>
      <c r="D59" s="99"/>
      <c r="E59" s="98">
        <f t="shared" si="2"/>
        <v>0</v>
      </c>
    </row>
    <row r="60" spans="2:5" ht="13.5" thickBot="1">
      <c r="B60" s="300" t="s">
        <v>53</v>
      </c>
      <c r="C60" s="301"/>
      <c r="D60" s="99"/>
      <c r="E60" s="98">
        <f t="shared" si="2"/>
        <v>0</v>
      </c>
    </row>
    <row r="61" spans="2:5" ht="13.5" thickBot="1">
      <c r="B61" s="300" t="s">
        <v>72</v>
      </c>
      <c r="C61" s="301"/>
      <c r="D61" s="99"/>
      <c r="E61" s="98">
        <f t="shared" si="2"/>
        <v>0</v>
      </c>
    </row>
    <row r="62" spans="2:5" ht="13.5" thickBot="1">
      <c r="B62" s="40" t="s">
        <v>73</v>
      </c>
      <c r="C62" s="41"/>
      <c r="D62" s="99"/>
      <c r="E62" s="98">
        <f t="shared" si="2"/>
        <v>0</v>
      </c>
    </row>
    <row r="63" spans="2:5" ht="13.5" thickBot="1">
      <c r="B63" s="300" t="s">
        <v>74</v>
      </c>
      <c r="C63" s="301"/>
      <c r="D63" s="99"/>
      <c r="E63" s="98">
        <f t="shared" si="2"/>
        <v>0</v>
      </c>
    </row>
    <row r="64" spans="2:5" ht="13.5" thickBot="1">
      <c r="B64" s="337" t="s">
        <v>4</v>
      </c>
      <c r="C64" s="338"/>
      <c r="D64" s="98">
        <f>SUM(D58:D63)</f>
        <v>0</v>
      </c>
      <c r="E64" s="98">
        <f t="shared" si="2"/>
        <v>0</v>
      </c>
    </row>
    <row r="65" spans="2:5" ht="13.5" thickBot="1">
      <c r="B65" s="45" t="s">
        <v>36</v>
      </c>
      <c r="C65" s="47"/>
      <c r="D65" s="42"/>
      <c r="E65" s="43"/>
    </row>
    <row r="66" spans="2:5" ht="13.5" thickBot="1">
      <c r="B66" s="300" t="s">
        <v>71</v>
      </c>
      <c r="C66" s="301"/>
      <c r="D66" s="98">
        <f>E26*(1+PorcentajeDePerdidas)*TarifaDeCompra</f>
        <v>0</v>
      </c>
      <c r="E66" s="98">
        <f>SUM(D66:D66)</f>
        <v>0</v>
      </c>
    </row>
    <row r="67" spans="2:5" ht="13.5" thickBot="1">
      <c r="B67" s="300" t="s">
        <v>54</v>
      </c>
      <c r="C67" s="301"/>
      <c r="D67" s="99"/>
      <c r="E67" s="98">
        <f>SUM(D67:D67)</f>
        <v>0</v>
      </c>
    </row>
    <row r="68" spans="2:5" ht="13.5" thickBot="1">
      <c r="B68" s="337" t="s">
        <v>4</v>
      </c>
      <c r="C68" s="338"/>
      <c r="D68" s="98">
        <f>SUM(D66:D67)</f>
        <v>0</v>
      </c>
      <c r="E68" s="98">
        <f>SUM(D68:D68)</f>
        <v>0</v>
      </c>
    </row>
    <row r="69" spans="2:5" ht="13.5" thickBot="1">
      <c r="B69" s="45" t="s">
        <v>147</v>
      </c>
      <c r="C69" s="58"/>
      <c r="D69" s="98">
        <f>D48+D56+D64+D68</f>
        <v>0</v>
      </c>
      <c r="E69" s="98">
        <f>SUM(D69:D69)</f>
        <v>0</v>
      </c>
    </row>
    <row r="70" spans="2:5" ht="13.5" thickBot="1">
      <c r="B70" s="42"/>
      <c r="C70" s="58"/>
      <c r="D70" s="47"/>
      <c r="E70" s="46"/>
    </row>
    <row r="71" spans="2:5" ht="13.5" thickBot="1">
      <c r="B71" s="45" t="s">
        <v>32</v>
      </c>
      <c r="C71" s="47"/>
      <c r="D71" s="47"/>
      <c r="E71" s="46"/>
    </row>
    <row r="72" spans="2:5" ht="13.5" thickBot="1">
      <c r="B72" s="45" t="s">
        <v>232</v>
      </c>
      <c r="C72" s="47"/>
      <c r="D72" s="47"/>
      <c r="E72" s="46"/>
    </row>
    <row r="73" spans="2:5" ht="13.5" thickBot="1">
      <c r="B73" s="300" t="s">
        <v>71</v>
      </c>
      <c r="C73" s="301"/>
      <c r="D73" s="99"/>
      <c r="E73" s="98">
        <f aca="true" t="shared" si="3" ref="E73:E95">SUM(D73:D73)</f>
        <v>0</v>
      </c>
    </row>
    <row r="74" spans="2:5" ht="13.5" thickBot="1">
      <c r="B74" s="300" t="s">
        <v>54</v>
      </c>
      <c r="C74" s="301"/>
      <c r="D74" s="99"/>
      <c r="E74" s="98">
        <f t="shared" si="3"/>
        <v>0</v>
      </c>
    </row>
    <row r="75" spans="2:5" ht="13.5" thickBot="1">
      <c r="B75" s="300" t="s">
        <v>53</v>
      </c>
      <c r="C75" s="301"/>
      <c r="D75" s="99"/>
      <c r="E75" s="98">
        <f t="shared" si="3"/>
        <v>0</v>
      </c>
    </row>
    <row r="76" spans="2:5" ht="13.5" thickBot="1">
      <c r="B76" s="300" t="s">
        <v>72</v>
      </c>
      <c r="C76" s="301"/>
      <c r="D76" s="99"/>
      <c r="E76" s="98">
        <f t="shared" si="3"/>
        <v>0</v>
      </c>
    </row>
    <row r="77" spans="2:5" ht="13.5" thickBot="1">
      <c r="B77" s="40" t="s">
        <v>73</v>
      </c>
      <c r="C77" s="41"/>
      <c r="D77" s="99"/>
      <c r="E77" s="98">
        <f t="shared" si="3"/>
        <v>0</v>
      </c>
    </row>
    <row r="78" spans="2:5" ht="13.5" thickBot="1">
      <c r="B78" s="300" t="s">
        <v>74</v>
      </c>
      <c r="C78" s="301"/>
      <c r="D78" s="99"/>
      <c r="E78" s="98">
        <f t="shared" si="3"/>
        <v>0</v>
      </c>
    </row>
    <row r="79" spans="2:5" ht="13.5" thickBot="1">
      <c r="B79" s="337" t="s">
        <v>4</v>
      </c>
      <c r="C79" s="338"/>
      <c r="D79" s="98">
        <f>SUM(D73:D78)</f>
        <v>0</v>
      </c>
      <c r="E79" s="98">
        <f t="shared" si="3"/>
        <v>0</v>
      </c>
    </row>
    <row r="80" spans="2:5" ht="13.5" thickBot="1">
      <c r="B80" s="45" t="s">
        <v>239</v>
      </c>
      <c r="C80" s="47"/>
      <c r="D80" s="47"/>
      <c r="E80" s="46"/>
    </row>
    <row r="81" spans="2:5" ht="13.5" thickBot="1">
      <c r="B81" s="300" t="s">
        <v>71</v>
      </c>
      <c r="C81" s="301"/>
      <c r="D81" s="99"/>
      <c r="E81" s="98">
        <f t="shared" si="3"/>
        <v>0</v>
      </c>
    </row>
    <row r="82" spans="2:5" ht="13.5" thickBot="1">
      <c r="B82" s="300" t="s">
        <v>54</v>
      </c>
      <c r="C82" s="301"/>
      <c r="D82" s="99"/>
      <c r="E82" s="98">
        <f t="shared" si="3"/>
        <v>0</v>
      </c>
    </row>
    <row r="83" spans="2:5" ht="13.5" thickBot="1">
      <c r="B83" s="300" t="s">
        <v>53</v>
      </c>
      <c r="C83" s="301"/>
      <c r="D83" s="99"/>
      <c r="E83" s="98">
        <f t="shared" si="3"/>
        <v>0</v>
      </c>
    </row>
    <row r="84" spans="2:5" ht="13.5" thickBot="1">
      <c r="B84" s="300" t="s">
        <v>72</v>
      </c>
      <c r="C84" s="301"/>
      <c r="D84" s="99"/>
      <c r="E84" s="98">
        <f t="shared" si="3"/>
        <v>0</v>
      </c>
    </row>
    <row r="85" spans="2:5" ht="13.5" thickBot="1">
      <c r="B85" s="40" t="s">
        <v>73</v>
      </c>
      <c r="C85" s="41"/>
      <c r="D85" s="99"/>
      <c r="E85" s="98">
        <f t="shared" si="3"/>
        <v>0</v>
      </c>
    </row>
    <row r="86" spans="2:5" ht="13.5" thickBot="1">
      <c r="B86" s="300" t="s">
        <v>74</v>
      </c>
      <c r="C86" s="301"/>
      <c r="D86" s="99"/>
      <c r="E86" s="98">
        <f t="shared" si="3"/>
        <v>0</v>
      </c>
    </row>
    <row r="87" spans="2:5" ht="13.5" thickBot="1">
      <c r="B87" s="337" t="s">
        <v>4</v>
      </c>
      <c r="C87" s="338"/>
      <c r="D87" s="98">
        <f>SUM(D81:D86)</f>
        <v>0</v>
      </c>
      <c r="E87" s="98">
        <f t="shared" si="3"/>
        <v>0</v>
      </c>
    </row>
    <row r="88" spans="2:5" ht="13.5" thickBot="1">
      <c r="B88" s="45" t="s">
        <v>233</v>
      </c>
      <c r="C88" s="47"/>
      <c r="D88" s="47"/>
      <c r="E88" s="46"/>
    </row>
    <row r="89" spans="2:5" ht="13.5" thickBot="1">
      <c r="B89" s="300" t="s">
        <v>71</v>
      </c>
      <c r="C89" s="301"/>
      <c r="D89" s="99"/>
      <c r="E89" s="98">
        <f t="shared" si="3"/>
        <v>0</v>
      </c>
    </row>
    <row r="90" spans="2:5" ht="13.5" thickBot="1">
      <c r="B90" s="300" t="s">
        <v>54</v>
      </c>
      <c r="C90" s="301"/>
      <c r="D90" s="99"/>
      <c r="E90" s="98">
        <f t="shared" si="3"/>
        <v>0</v>
      </c>
    </row>
    <row r="91" spans="2:5" ht="13.5" thickBot="1">
      <c r="B91" s="300" t="s">
        <v>53</v>
      </c>
      <c r="C91" s="301"/>
      <c r="D91" s="99"/>
      <c r="E91" s="98">
        <f t="shared" si="3"/>
        <v>0</v>
      </c>
    </row>
    <row r="92" spans="2:5" ht="13.5" thickBot="1">
      <c r="B92" s="300" t="s">
        <v>72</v>
      </c>
      <c r="C92" s="301"/>
      <c r="D92" s="99"/>
      <c r="E92" s="98">
        <f t="shared" si="3"/>
        <v>0</v>
      </c>
    </row>
    <row r="93" spans="2:5" ht="13.5" thickBot="1">
      <c r="B93" s="40" t="s">
        <v>73</v>
      </c>
      <c r="C93" s="41"/>
      <c r="D93" s="99"/>
      <c r="E93" s="98">
        <f t="shared" si="3"/>
        <v>0</v>
      </c>
    </row>
    <row r="94" spans="2:5" ht="13.5" thickBot="1">
      <c r="B94" s="300" t="s">
        <v>74</v>
      </c>
      <c r="C94" s="301"/>
      <c r="D94" s="99"/>
      <c r="E94" s="98">
        <f t="shared" si="3"/>
        <v>0</v>
      </c>
    </row>
    <row r="95" spans="2:5" ht="13.5" thickBot="1">
      <c r="B95" s="337" t="s">
        <v>4</v>
      </c>
      <c r="C95" s="338"/>
      <c r="D95" s="98">
        <f>SUM(D89:D94)</f>
        <v>0</v>
      </c>
      <c r="E95" s="98">
        <f t="shared" si="3"/>
        <v>0</v>
      </c>
    </row>
    <row r="96" spans="2:5" ht="13.5" thickBot="1">
      <c r="B96" s="45" t="s">
        <v>149</v>
      </c>
      <c r="C96" s="58"/>
      <c r="D96" s="98">
        <f>(D79+D87+D95)*CambioInversion</f>
        <v>0</v>
      </c>
      <c r="E96" s="98">
        <f>SUM(D96)</f>
        <v>0</v>
      </c>
    </row>
    <row r="97" spans="2:5" ht="13.5" thickBot="1">
      <c r="B97" s="146">
        <f>IF(B1=TRUE,30000000,30000000/6)</f>
        <v>5000000</v>
      </c>
      <c r="C97" s="146">
        <f>IF(B1=TRUE,60000000,60000000/6)</f>
        <v>10000000</v>
      </c>
      <c r="D97" s="47"/>
      <c r="E97" s="46"/>
    </row>
    <row r="98" spans="2:5" ht="13.5" thickBot="1">
      <c r="B98" s="45" t="s">
        <v>75</v>
      </c>
      <c r="C98" s="47"/>
      <c r="D98" s="146">
        <f>IF(B1=TRUE,120000000,120000000/6)</f>
        <v>20000000</v>
      </c>
      <c r="E98" s="165">
        <f>E68+E64+E56+E48+E96</f>
        <v>0</v>
      </c>
    </row>
    <row r="99" spans="2:5" ht="13.5" hidden="1" thickBot="1">
      <c r="B99" s="300" t="s">
        <v>76</v>
      </c>
      <c r="C99" s="301"/>
      <c r="D99" s="97">
        <f ca="1">IF(AND(tot1&lt;Rango1,Impacto&gt;0),tot1*OFFSET(emenos30,0,Impacto),IF(AND(tot1&gt;Rango1,tot1&lt;Rango2,Impacto&gt;0),tot1*OFFSET(eentre30_60,0,Impacto),IF(AND(tot1&gt;Rango2,tot1&lt;Rango3,Impacto&gt;0),tot1*OFFSET(eentre60_120,0,Impacto),IF(AND(tot1&gt;Rango3,Impacto&gt;0),tot1*OFFSET(emas120,0,Impacto),0))))</f>
        <v>0</v>
      </c>
      <c r="E99" s="97">
        <f>SUM(D99)</f>
        <v>0</v>
      </c>
    </row>
    <row r="100" spans="2:5" ht="13.5" thickBot="1">
      <c r="B100" s="300" t="s">
        <v>77</v>
      </c>
      <c r="C100" s="301"/>
      <c r="D100" s="97">
        <f ca="1">(IF(AND(tot1&lt;Rango1,Impacto&gt;0),tot1*OFFSET(imenos30,0,Impacto),IF(AND(tot1&gt;Rango1,tot1&lt;Rango2,Impacto&gt;0),tot1*OFFSET(ientre30_60,0,Impacto),IF(AND(tot1&gt;Rango2,tot1&lt;Rango3,Impacto&gt;0),tot1*OFFSET(ientre60_120,0,Impacto),IF(AND(tot1&gt;Rango3,Impacto&gt;0),tot1*OFFSET(imas120,0,Impacto),0)))))/2</f>
        <v>0</v>
      </c>
      <c r="E100" s="97">
        <f>SUM(D100)</f>
        <v>0</v>
      </c>
    </row>
    <row r="101" spans="2:5" ht="13.5" thickBot="1">
      <c r="B101" s="337" t="s">
        <v>4</v>
      </c>
      <c r="C101" s="338"/>
      <c r="D101" s="97">
        <f>SUM(D100:D100)</f>
        <v>0</v>
      </c>
      <c r="E101" s="97">
        <f>SUM(D101:D101)</f>
        <v>0</v>
      </c>
    </row>
    <row r="102" ht="13.5" thickBot="1"/>
    <row r="103" spans="2:5" ht="13.5" thickBot="1">
      <c r="B103" s="313" t="s">
        <v>144</v>
      </c>
      <c r="C103" s="314"/>
      <c r="D103" s="98">
        <f>D69+D96+D101</f>
        <v>0</v>
      </c>
      <c r="E103" s="98">
        <f>SUM(D103)</f>
        <v>0</v>
      </c>
    </row>
    <row r="104" ht="13.5" customHeight="1"/>
    <row r="105" spans="2:7" ht="14.25" customHeight="1" hidden="1" thickBot="1">
      <c r="B105" s="313" t="s">
        <v>125</v>
      </c>
      <c r="C105" s="314"/>
      <c r="D105" s="180">
        <f>(D103)/(1+interes)^E24</f>
        <v>0</v>
      </c>
      <c r="E105" s="39">
        <f>(E26)/(1+interes)^E24</f>
        <v>0</v>
      </c>
      <c r="F105" s="313" t="s">
        <v>126</v>
      </c>
      <c r="G105" s="314"/>
    </row>
    <row r="106" spans="2:4" ht="12.75" customHeight="1" hidden="1" thickBot="1">
      <c r="B106" s="313" t="s">
        <v>40</v>
      </c>
      <c r="C106" s="314"/>
      <c r="D106" s="180">
        <f>D135/(1+interes)^E24</f>
        <v>0</v>
      </c>
    </row>
    <row r="107" spans="2:7" ht="12.75" customHeight="1" hidden="1" thickBot="1">
      <c r="B107" s="313" t="s">
        <v>41</v>
      </c>
      <c r="C107" s="314"/>
      <c r="D107" s="180">
        <f>-PMT(interes,años1,vpcp)</f>
        <v>0</v>
      </c>
      <c r="E107" s="39">
        <f>IF(vadp1&gt;0,vpcp/vadp1,)</f>
        <v>0</v>
      </c>
      <c r="F107" s="313" t="s">
        <v>130</v>
      </c>
      <c r="G107" s="314"/>
    </row>
    <row r="108" spans="2:4" ht="13.5" hidden="1" thickBot="1">
      <c r="B108" s="313" t="s">
        <v>192</v>
      </c>
      <c r="C108" s="314"/>
      <c r="D108" s="142"/>
    </row>
    <row r="109" spans="2:7" ht="13.5" hidden="1" thickBot="1">
      <c r="B109" s="313" t="s">
        <v>196</v>
      </c>
      <c r="C109" s="314"/>
      <c r="D109" s="180"/>
      <c r="E109" s="97">
        <f>IF(vpcp&lt;&gt;0,vaip/vpcp,0)</f>
        <v>0</v>
      </c>
      <c r="F109" s="313" t="s">
        <v>197</v>
      </c>
      <c r="G109" s="314"/>
    </row>
    <row r="112" ht="18.75" thickBot="1">
      <c r="B112" s="9" t="s">
        <v>153</v>
      </c>
    </row>
    <row r="113" spans="2:5" ht="13.5" thickBot="1">
      <c r="B113" s="291"/>
      <c r="C113" s="293"/>
      <c r="D113" s="309" t="s">
        <v>3</v>
      </c>
      <c r="E113" s="310"/>
    </row>
    <row r="114" spans="2:5" ht="12.75">
      <c r="B114" s="294"/>
      <c r="C114" s="296"/>
      <c r="D114" s="29">
        <v>0</v>
      </c>
      <c r="E114" s="311" t="s">
        <v>2</v>
      </c>
    </row>
    <row r="115" spans="2:5" ht="13.5" thickBot="1">
      <c r="B115" s="297"/>
      <c r="C115" s="299"/>
      <c r="D115" s="30">
        <f>AñoBase</f>
        <v>2008</v>
      </c>
      <c r="E115" s="312"/>
    </row>
    <row r="116" spans="2:5" ht="13.5" thickBot="1">
      <c r="B116" s="359" t="s">
        <v>148</v>
      </c>
      <c r="C116" s="360"/>
      <c r="D116" s="98">
        <f>E33</f>
        <v>0</v>
      </c>
      <c r="E116" s="98">
        <f>SUM(F114:F115)</f>
        <v>0</v>
      </c>
    </row>
    <row r="117" ht="13.5" thickBot="1"/>
    <row r="118" spans="2:5" ht="13.5" thickBot="1">
      <c r="B118" s="313" t="s">
        <v>147</v>
      </c>
      <c r="C118" s="314"/>
      <c r="D118" s="98">
        <f>D69</f>
        <v>0</v>
      </c>
      <c r="E118" s="98">
        <f>SUM(D118)</f>
        <v>0</v>
      </c>
    </row>
    <row r="119" spans="2:5" ht="13.5" thickBot="1">
      <c r="B119" s="341" t="s">
        <v>143</v>
      </c>
      <c r="C119" s="342"/>
      <c r="D119" s="99"/>
      <c r="E119" s="98">
        <f>SUM(D119:D119)</f>
        <v>0</v>
      </c>
    </row>
    <row r="120" spans="2:5" ht="13.5" thickBot="1">
      <c r="B120" s="341" t="s">
        <v>142</v>
      </c>
      <c r="C120" s="342"/>
      <c r="D120" s="99"/>
      <c r="E120" s="98">
        <f>SUM(D120:D120)</f>
        <v>0</v>
      </c>
    </row>
    <row r="121" spans="2:5" ht="13.5" thickBot="1">
      <c r="B121" s="343" t="s">
        <v>4</v>
      </c>
      <c r="C121" s="344"/>
      <c r="D121" s="98">
        <f>SUM(D118:D120)</f>
        <v>0</v>
      </c>
      <c r="E121" s="98">
        <f>SUM(D121:D121)</f>
        <v>0</v>
      </c>
    </row>
    <row r="122" ht="13.5" thickBot="1"/>
    <row r="123" spans="2:5" ht="13.5" thickBot="1">
      <c r="B123" s="186" t="s">
        <v>314</v>
      </c>
      <c r="C123" s="59"/>
      <c r="D123" s="98">
        <f>IF((D116-D121)&gt;0,(D116-D121)*$C$123,0)</f>
        <v>0</v>
      </c>
      <c r="E123" s="98">
        <f>SUM(D123:D123)</f>
        <v>0</v>
      </c>
    </row>
    <row r="124" ht="13.5" thickBot="1"/>
    <row r="125" spans="2:5" ht="13.5" thickBot="1">
      <c r="B125" s="313" t="s">
        <v>149</v>
      </c>
      <c r="C125" s="314"/>
      <c r="D125" s="98">
        <f>D96</f>
        <v>0</v>
      </c>
      <c r="E125" s="98">
        <f>SUM(D125)</f>
        <v>0</v>
      </c>
    </row>
    <row r="126" spans="2:5" ht="13.5" thickBot="1">
      <c r="B126" s="341" t="s">
        <v>141</v>
      </c>
      <c r="C126" s="342"/>
      <c r="D126" s="98">
        <f>-D119</f>
        <v>0</v>
      </c>
      <c r="E126" s="98">
        <f>SUM(D126:D126)</f>
        <v>0</v>
      </c>
    </row>
    <row r="127" spans="2:8" ht="13.5" thickBot="1">
      <c r="B127" s="341" t="s">
        <v>175</v>
      </c>
      <c r="C127" s="342"/>
      <c r="D127" s="99"/>
      <c r="E127" s="98">
        <f>SUM(D127:D127)</f>
        <v>0</v>
      </c>
      <c r="H127" t="s">
        <v>151</v>
      </c>
    </row>
    <row r="128" spans="2:6" ht="13.5" thickBot="1">
      <c r="B128" s="339" t="s">
        <v>209</v>
      </c>
      <c r="C128" s="340"/>
      <c r="D128" s="99"/>
      <c r="E128" s="98">
        <f>SUM(D128:D128)</f>
        <v>0</v>
      </c>
      <c r="F128" s="109"/>
    </row>
    <row r="129" spans="2:5" ht="13.5" thickBot="1">
      <c r="B129" s="343" t="s">
        <v>4</v>
      </c>
      <c r="C129" s="344"/>
      <c r="D129" s="98">
        <f>SUM(D125:D128)</f>
        <v>0</v>
      </c>
      <c r="E129" s="98">
        <f>SUM(D129:D129)</f>
        <v>0</v>
      </c>
    </row>
    <row r="130" ht="13.5" thickBot="1"/>
    <row r="131" spans="2:5" ht="13.5" thickBot="1">
      <c r="B131" s="313" t="s">
        <v>150</v>
      </c>
      <c r="C131" s="314"/>
      <c r="D131" s="98">
        <f>D101</f>
        <v>0</v>
      </c>
      <c r="E131" s="98">
        <f>SUM(D131:D131)</f>
        <v>0</v>
      </c>
    </row>
    <row r="132" ht="13.5" thickBot="1"/>
    <row r="133" spans="2:5" ht="13.5" thickBot="1">
      <c r="B133" s="313" t="s">
        <v>152</v>
      </c>
      <c r="C133" s="314"/>
      <c r="D133" s="98">
        <f>D121+D123+D129+D131</f>
        <v>0</v>
      </c>
      <c r="E133" s="98">
        <f>SUM(D133)</f>
        <v>0</v>
      </c>
    </row>
    <row r="134" spans="2:5" ht="13.5" thickBot="1">
      <c r="B134" s="313" t="s">
        <v>146</v>
      </c>
      <c r="C134" s="314"/>
      <c r="D134" s="95"/>
      <c r="E134" s="98">
        <f>SUM(D134)</f>
        <v>0</v>
      </c>
    </row>
    <row r="135" spans="2:5" ht="13.5" thickBot="1">
      <c r="B135" s="313" t="s">
        <v>145</v>
      </c>
      <c r="C135" s="314"/>
      <c r="D135" s="98">
        <f>D116-D133+D134</f>
        <v>0</v>
      </c>
      <c r="E135" s="98">
        <f>SUM(D135)</f>
        <v>0</v>
      </c>
    </row>
  </sheetData>
  <sheetProtection sheet="1" objects="1" scenarios="1"/>
  <mergeCells count="102">
    <mergeCell ref="B84:C84"/>
    <mergeCell ref="B86:C86"/>
    <mergeCell ref="B87:C87"/>
    <mergeCell ref="B95:C95"/>
    <mergeCell ref="B90:C90"/>
    <mergeCell ref="B91:C91"/>
    <mergeCell ref="B92:C92"/>
    <mergeCell ref="B94:C94"/>
    <mergeCell ref="B61:C61"/>
    <mergeCell ref="B60:C60"/>
    <mergeCell ref="B52:C52"/>
    <mergeCell ref="B66:C66"/>
    <mergeCell ref="B64:C64"/>
    <mergeCell ref="B63:C63"/>
    <mergeCell ref="B53:C53"/>
    <mergeCell ref="B56:C56"/>
    <mergeCell ref="B58:C58"/>
    <mergeCell ref="B55:C55"/>
    <mergeCell ref="C36:D36"/>
    <mergeCell ref="B126:C126"/>
    <mergeCell ref="B125:C125"/>
    <mergeCell ref="B121:C121"/>
    <mergeCell ref="B120:C120"/>
    <mergeCell ref="D113:E113"/>
    <mergeCell ref="E114:E115"/>
    <mergeCell ref="B116:C116"/>
    <mergeCell ref="B118:C118"/>
    <mergeCell ref="B83:C83"/>
    <mergeCell ref="I5:I6"/>
    <mergeCell ref="I7:I8"/>
    <mergeCell ref="C5:C6"/>
    <mergeCell ref="B33:D33"/>
    <mergeCell ref="B30:D30"/>
    <mergeCell ref="D5:D6"/>
    <mergeCell ref="B7:B8"/>
    <mergeCell ref="C7:C8"/>
    <mergeCell ref="B19:E19"/>
    <mergeCell ref="B5:B6"/>
    <mergeCell ref="D38:E38"/>
    <mergeCell ref="F107:G107"/>
    <mergeCell ref="B73:C73"/>
    <mergeCell ref="B75:C75"/>
    <mergeCell ref="B78:C78"/>
    <mergeCell ref="F105:G105"/>
    <mergeCell ref="B79:C79"/>
    <mergeCell ref="B103:C103"/>
    <mergeCell ref="B81:C81"/>
    <mergeCell ref="B82:C82"/>
    <mergeCell ref="B42:C42"/>
    <mergeCell ref="B50:C50"/>
    <mergeCell ref="B51:C51"/>
    <mergeCell ref="B44:C44"/>
    <mergeCell ref="B47:C47"/>
    <mergeCell ref="B48:C48"/>
    <mergeCell ref="B127:C127"/>
    <mergeCell ref="B134:C134"/>
    <mergeCell ref="B68:C68"/>
    <mergeCell ref="B76:C76"/>
    <mergeCell ref="B74:C74"/>
    <mergeCell ref="B133:C133"/>
    <mergeCell ref="B131:C131"/>
    <mergeCell ref="B129:C129"/>
    <mergeCell ref="B119:C119"/>
    <mergeCell ref="B89:C89"/>
    <mergeCell ref="B135:C135"/>
    <mergeCell ref="B99:C99"/>
    <mergeCell ref="B100:C100"/>
    <mergeCell ref="B101:C101"/>
    <mergeCell ref="B106:C106"/>
    <mergeCell ref="B107:C107"/>
    <mergeCell ref="B105:C105"/>
    <mergeCell ref="B108:C108"/>
    <mergeCell ref="B109:C109"/>
    <mergeCell ref="B128:C128"/>
    <mergeCell ref="F5:H6"/>
    <mergeCell ref="F7:H8"/>
    <mergeCell ref="B13:E13"/>
    <mergeCell ref="D21:E21"/>
    <mergeCell ref="D7:D8"/>
    <mergeCell ref="B17:E17"/>
    <mergeCell ref="B18:E18"/>
    <mergeCell ref="B14:E14"/>
    <mergeCell ref="B113:C115"/>
    <mergeCell ref="B12:E12"/>
    <mergeCell ref="F109:G109"/>
    <mergeCell ref="B32:D32"/>
    <mergeCell ref="B67:C67"/>
    <mergeCell ref="B31:D31"/>
    <mergeCell ref="B59:C59"/>
    <mergeCell ref="B43:C43"/>
    <mergeCell ref="E39:E40"/>
    <mergeCell ref="B38:C40"/>
    <mergeCell ref="B23:D25"/>
    <mergeCell ref="B45:C45"/>
    <mergeCell ref="B11:E11"/>
    <mergeCell ref="B16:E16"/>
    <mergeCell ref="B27:D27"/>
    <mergeCell ref="B20:E20"/>
    <mergeCell ref="B15:E15"/>
    <mergeCell ref="E23:F23"/>
    <mergeCell ref="F24:F25"/>
    <mergeCell ref="B26:D26"/>
  </mergeCells>
  <printOptions horizontalCentered="1" verticalCentered="1"/>
  <pageMargins left="0.75" right="0.75" top="1" bottom="1" header="0" footer="0"/>
  <pageSetup horizontalDpi="300" verticalDpi="300" orientation="landscape" scale="86" r:id="rId4"/>
  <headerFooter alignWithMargins="0">
    <oddFooter>&amp;L&amp;D&amp;RPágina &amp;P de &amp;N</oddFooter>
  </headerFooter>
  <rowBreaks count="3" manualBreakCount="3">
    <brk id="34" max="8" man="1"/>
    <brk id="64" max="8" man="1"/>
    <brk id="111" max="8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H108"/>
  <sheetViews>
    <sheetView showGridLines="0" showRowColHeaders="0" zoomScaleSheetLayoutView="10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85546875" style="0" customWidth="1"/>
    <col min="3" max="3" width="18.28125" style="0" customWidth="1"/>
    <col min="4" max="5" width="12.28125" style="0" bestFit="1" customWidth="1"/>
  </cols>
  <sheetData>
    <row r="1" ht="13.5" customHeight="1"/>
    <row r="2" ht="13.5" customHeight="1"/>
    <row r="3" ht="40.5" customHeight="1"/>
    <row r="4" ht="20.25">
      <c r="B4" s="8" t="s">
        <v>166</v>
      </c>
    </row>
    <row r="5" ht="18.75" thickBot="1">
      <c r="B5" s="9" t="s">
        <v>27</v>
      </c>
    </row>
    <row r="6" spans="2:6" ht="13.5" thickBot="1">
      <c r="B6" s="300" t="s">
        <v>6</v>
      </c>
      <c r="C6" s="366"/>
      <c r="D6" s="366"/>
      <c r="E6" s="301"/>
      <c r="F6" s="44">
        <v>1.24</v>
      </c>
    </row>
    <row r="7" spans="2:6" ht="13.5" thickBot="1">
      <c r="B7" s="300" t="s">
        <v>52</v>
      </c>
      <c r="C7" s="366"/>
      <c r="D7" s="366"/>
      <c r="E7" s="301"/>
      <c r="F7" s="44">
        <v>1</v>
      </c>
    </row>
    <row r="8" spans="2:6" ht="13.5" thickBot="1">
      <c r="B8" s="361" t="s">
        <v>49</v>
      </c>
      <c r="C8" s="362"/>
      <c r="D8" s="362"/>
      <c r="E8" s="367"/>
      <c r="F8" s="44">
        <v>0.43</v>
      </c>
    </row>
    <row r="9" spans="2:6" ht="13.5" thickBot="1">
      <c r="B9" s="361" t="s">
        <v>50</v>
      </c>
      <c r="C9" s="362"/>
      <c r="D9" s="362"/>
      <c r="E9" s="367"/>
      <c r="F9" s="44">
        <v>0.23</v>
      </c>
    </row>
    <row r="10" spans="2:6" ht="13.5" thickBot="1">
      <c r="B10" s="361" t="s">
        <v>51</v>
      </c>
      <c r="C10" s="362"/>
      <c r="D10" s="362"/>
      <c r="E10" s="367"/>
      <c r="F10" s="44">
        <v>0.47</v>
      </c>
    </row>
    <row r="11" spans="2:6" ht="13.5" thickBot="1">
      <c r="B11" s="300" t="s">
        <v>140</v>
      </c>
      <c r="C11" s="366"/>
      <c r="D11" s="366"/>
      <c r="E11" s="301"/>
      <c r="F11" s="60">
        <v>0.1267</v>
      </c>
    </row>
    <row r="16" ht="18.75" thickBot="1">
      <c r="B16" s="9" t="s">
        <v>28</v>
      </c>
    </row>
    <row r="17" spans="2:6" ht="13.5" thickBot="1">
      <c r="B17" s="300" t="s">
        <v>182</v>
      </c>
      <c r="C17" s="366"/>
      <c r="D17" s="366"/>
      <c r="E17" s="301"/>
      <c r="F17" s="44">
        <f>Tarifa1</f>
        <v>0</v>
      </c>
    </row>
    <row r="18" spans="2:6" ht="13.5" thickBot="1">
      <c r="B18" s="365" t="s">
        <v>31</v>
      </c>
      <c r="C18" s="365"/>
      <c r="D18" s="365"/>
      <c r="E18" s="365"/>
      <c r="F18" s="44">
        <f>'EVALUACIÓN PRIVADA'!F15</f>
        <v>0</v>
      </c>
    </row>
    <row r="20" ht="18.75" thickBot="1">
      <c r="B20" s="9" t="s">
        <v>13</v>
      </c>
    </row>
    <row r="21" spans="2:7" ht="13.5" thickBot="1">
      <c r="B21" s="368" t="s">
        <v>1</v>
      </c>
      <c r="C21" s="368"/>
      <c r="D21" s="368"/>
      <c r="E21" s="368"/>
      <c r="F21" s="309" t="s">
        <v>3</v>
      </c>
      <c r="G21" s="310"/>
    </row>
    <row r="22" spans="2:7" ht="13.5" thickBot="1">
      <c r="B22" s="368"/>
      <c r="C22" s="368"/>
      <c r="D22" s="368"/>
      <c r="E22" s="368"/>
      <c r="F22" s="29">
        <v>0</v>
      </c>
      <c r="G22" s="311" t="s">
        <v>2</v>
      </c>
    </row>
    <row r="23" spans="2:7" ht="13.5" thickBot="1">
      <c r="B23" s="368"/>
      <c r="C23" s="368"/>
      <c r="D23" s="368"/>
      <c r="E23" s="368"/>
      <c r="F23" s="30">
        <f>AñoBase</f>
        <v>2008</v>
      </c>
      <c r="G23" s="312"/>
    </row>
    <row r="24" spans="2:7" ht="13.5" thickBot="1">
      <c r="B24" s="365" t="s">
        <v>186</v>
      </c>
      <c r="C24" s="365"/>
      <c r="D24" s="365"/>
      <c r="E24" s="365"/>
      <c r="F24" s="95"/>
      <c r="G24" s="94">
        <f>SUM(Total1)</f>
        <v>0</v>
      </c>
    </row>
    <row r="25" spans="2:7" ht="13.5" thickBot="1">
      <c r="B25" s="361" t="s">
        <v>187</v>
      </c>
      <c r="C25" s="362"/>
      <c r="D25" s="367"/>
      <c r="E25" s="100"/>
      <c r="F25" s="94">
        <f>F24*$E$25</f>
        <v>0</v>
      </c>
      <c r="G25" s="94">
        <f aca="true" t="shared" si="0" ref="G25:G31">SUM(F25)</f>
        <v>0</v>
      </c>
    </row>
    <row r="26" spans="2:7" ht="13.5" thickBot="1">
      <c r="B26" s="365" t="s">
        <v>188</v>
      </c>
      <c r="C26" s="365"/>
      <c r="D26" s="365"/>
      <c r="E26" s="365"/>
      <c r="F26" s="94">
        <f>'EVALUACIÓN PRIVADA'!E26-'EVALUACIÓN PRIVADA'!E27</f>
        <v>0</v>
      </c>
      <c r="G26" s="94">
        <f t="shared" si="0"/>
        <v>0</v>
      </c>
    </row>
    <row r="27" ht="13.5" thickBot="1"/>
    <row r="28" spans="2:7" ht="13.5" thickBot="1">
      <c r="B28" s="365" t="s">
        <v>29</v>
      </c>
      <c r="C28" s="365"/>
      <c r="D28" s="365"/>
      <c r="E28" s="365"/>
      <c r="F28" s="117">
        <f>(-$F$17+PREPARACION!$C$151)*'EVALUACIÓN SOCIOECONÓMICA'!F26/2</f>
        <v>0</v>
      </c>
      <c r="G28" s="94">
        <f t="shared" si="0"/>
        <v>0</v>
      </c>
    </row>
    <row r="29" spans="2:7" ht="13.5" thickBot="1">
      <c r="B29" s="365" t="s">
        <v>189</v>
      </c>
      <c r="C29" s="365"/>
      <c r="D29" s="365"/>
      <c r="E29" s="365"/>
      <c r="F29" s="94">
        <f>$F$18*F24</f>
        <v>0</v>
      </c>
      <c r="G29" s="94">
        <f t="shared" si="0"/>
        <v>0</v>
      </c>
    </row>
    <row r="30" spans="2:7" ht="13.5" thickBot="1">
      <c r="B30" s="365" t="s">
        <v>190</v>
      </c>
      <c r="C30" s="365"/>
      <c r="D30" s="365"/>
      <c r="E30" s="365"/>
      <c r="F30" s="94">
        <f>$F$18*F25*$F$17</f>
        <v>0</v>
      </c>
      <c r="G30" s="94">
        <f t="shared" si="0"/>
        <v>0</v>
      </c>
    </row>
    <row r="31" spans="2:7" ht="13.5" thickBot="1">
      <c r="B31" s="361" t="s">
        <v>69</v>
      </c>
      <c r="C31" s="362"/>
      <c r="D31" s="362"/>
      <c r="E31" s="184"/>
      <c r="F31" s="185">
        <f>Po*Qo*usuarios*(1+TasaSustituta)^F22</f>
        <v>0</v>
      </c>
      <c r="G31" s="94">
        <f t="shared" si="0"/>
        <v>0</v>
      </c>
    </row>
    <row r="32" spans="2:7" ht="13.5" thickBot="1">
      <c r="B32" s="364" t="s">
        <v>30</v>
      </c>
      <c r="C32" s="364"/>
      <c r="D32" s="364"/>
      <c r="E32" s="364"/>
      <c r="F32" s="96">
        <f>SUM(F28:F31)</f>
        <v>0</v>
      </c>
      <c r="G32" s="96">
        <f>SUM(G24:G31)</f>
        <v>0</v>
      </c>
    </row>
    <row r="34" ht="18.75" thickBot="1">
      <c r="B34" s="9" t="s">
        <v>14</v>
      </c>
    </row>
    <row r="35" spans="2:3" ht="26.25" thickBot="1">
      <c r="B35" s="56" t="s">
        <v>70</v>
      </c>
      <c r="C35" s="57" t="str">
        <f>'EVALUACIÓN PRIVADA'!C36</f>
        <v>Dólares</v>
      </c>
    </row>
    <row r="36" ht="13.5" thickBot="1"/>
    <row r="37" spans="2:5" ht="13.5" thickBot="1">
      <c r="B37" s="291" t="s">
        <v>1</v>
      </c>
      <c r="C37" s="293"/>
      <c r="D37" s="309" t="s">
        <v>3</v>
      </c>
      <c r="E37" s="310"/>
    </row>
    <row r="38" spans="2:5" ht="12.75">
      <c r="B38" s="294"/>
      <c r="C38" s="296"/>
      <c r="D38" s="29">
        <v>0</v>
      </c>
      <c r="E38" s="311" t="s">
        <v>2</v>
      </c>
    </row>
    <row r="39" spans="2:5" ht="13.5" thickBot="1">
      <c r="B39" s="297"/>
      <c r="C39" s="299"/>
      <c r="D39" s="30">
        <f>AñoBase</f>
        <v>2008</v>
      </c>
      <c r="E39" s="312"/>
    </row>
    <row r="40" spans="2:5" ht="13.5" thickBot="1">
      <c r="B40" s="31" t="s">
        <v>33</v>
      </c>
      <c r="C40" s="32"/>
      <c r="D40" s="42"/>
      <c r="E40" s="43"/>
    </row>
    <row r="41" spans="2:5" ht="13.5" thickBot="1">
      <c r="B41" s="300" t="s">
        <v>71</v>
      </c>
      <c r="C41" s="301"/>
      <c r="D41" s="97">
        <f>'EVALUACIÓN PRIVADA'!D42*rpcdivisa</f>
        <v>0</v>
      </c>
      <c r="E41" s="97">
        <f aca="true" t="shared" si="1" ref="E41:E47">SUM(D41:D41)</f>
        <v>0</v>
      </c>
    </row>
    <row r="42" spans="2:5" ht="13.5" thickBot="1">
      <c r="B42" s="300" t="s">
        <v>54</v>
      </c>
      <c r="C42" s="301"/>
      <c r="D42" s="97">
        <f>'EVALUACIÓN PRIVADA'!D43*1</f>
        <v>0</v>
      </c>
      <c r="E42" s="97">
        <f t="shared" si="1"/>
        <v>0</v>
      </c>
    </row>
    <row r="43" spans="2:5" ht="13.5" thickBot="1">
      <c r="B43" s="300" t="s">
        <v>53</v>
      </c>
      <c r="C43" s="301"/>
      <c r="D43" s="97">
        <f>'EVALUACIÓN PRIVADA'!D44*rpcmoc</f>
        <v>0</v>
      </c>
      <c r="E43" s="97">
        <f t="shared" si="1"/>
        <v>0</v>
      </c>
    </row>
    <row r="44" spans="2:5" ht="13.5" thickBot="1">
      <c r="B44" s="300" t="s">
        <v>72</v>
      </c>
      <c r="C44" s="301"/>
      <c r="D44" s="97">
        <f>'EVALUACIÓN PRIVADA'!D45*rpcmosc</f>
        <v>0</v>
      </c>
      <c r="E44" s="97">
        <f t="shared" si="1"/>
        <v>0</v>
      </c>
    </row>
    <row r="45" spans="2:5" ht="13.5" thickBot="1">
      <c r="B45" s="40" t="s">
        <v>73</v>
      </c>
      <c r="C45" s="41"/>
      <c r="D45" s="97">
        <f>'EVALUACIÓN PRIVADA'!D46*rpcmoncu</f>
        <v>0</v>
      </c>
      <c r="E45" s="97">
        <f t="shared" si="1"/>
        <v>0</v>
      </c>
    </row>
    <row r="46" spans="2:5" ht="13.5" thickBot="1">
      <c r="B46" s="300" t="s">
        <v>74</v>
      </c>
      <c r="C46" s="301"/>
      <c r="D46" s="97">
        <f>'EVALUACIÓN PRIVADA'!D47*rpcmoncr</f>
        <v>0</v>
      </c>
      <c r="E46" s="97">
        <f t="shared" si="1"/>
        <v>0</v>
      </c>
    </row>
    <row r="47" spans="2:5" ht="13.5" thickBot="1">
      <c r="B47" s="337" t="s">
        <v>4</v>
      </c>
      <c r="C47" s="338"/>
      <c r="D47" s="98">
        <f>SUM(D41:D46)</f>
        <v>0</v>
      </c>
      <c r="E47" s="98">
        <f t="shared" si="1"/>
        <v>0</v>
      </c>
    </row>
    <row r="48" spans="2:5" ht="13.5" thickBot="1">
      <c r="B48" s="31" t="s">
        <v>34</v>
      </c>
      <c r="C48" s="32"/>
      <c r="D48" s="42"/>
      <c r="E48" s="43"/>
    </row>
    <row r="49" spans="2:5" ht="13.5" thickBot="1">
      <c r="B49" s="300" t="s">
        <v>71</v>
      </c>
      <c r="C49" s="301"/>
      <c r="D49" s="97">
        <f>'EVALUACIÓN PRIVADA'!D50*rpcdivisa</f>
        <v>0</v>
      </c>
      <c r="E49" s="97">
        <f aca="true" t="shared" si="2" ref="E49:E55">SUM(D49:D49)</f>
        <v>0</v>
      </c>
    </row>
    <row r="50" spans="2:5" ht="13.5" thickBot="1">
      <c r="B50" s="300" t="s">
        <v>54</v>
      </c>
      <c r="C50" s="301"/>
      <c r="D50" s="97">
        <f>'EVALUACIÓN PRIVADA'!D51*1</f>
        <v>0</v>
      </c>
      <c r="E50" s="97">
        <f t="shared" si="2"/>
        <v>0</v>
      </c>
    </row>
    <row r="51" spans="2:5" ht="13.5" thickBot="1">
      <c r="B51" s="300" t="s">
        <v>53</v>
      </c>
      <c r="C51" s="301"/>
      <c r="D51" s="97">
        <f>'EVALUACIÓN PRIVADA'!D52*rpcmoc</f>
        <v>0</v>
      </c>
      <c r="E51" s="97">
        <f t="shared" si="2"/>
        <v>0</v>
      </c>
    </row>
    <row r="52" spans="2:5" ht="13.5" thickBot="1">
      <c r="B52" s="300" t="s">
        <v>72</v>
      </c>
      <c r="C52" s="301"/>
      <c r="D52" s="97">
        <f>'EVALUACIÓN PRIVADA'!D53*rpcmosc</f>
        <v>0</v>
      </c>
      <c r="E52" s="97">
        <f t="shared" si="2"/>
        <v>0</v>
      </c>
    </row>
    <row r="53" spans="2:5" ht="13.5" thickBot="1">
      <c r="B53" s="40" t="s">
        <v>73</v>
      </c>
      <c r="C53" s="41"/>
      <c r="D53" s="97">
        <f>'EVALUACIÓN PRIVADA'!D54*rpcmoncu</f>
        <v>0</v>
      </c>
      <c r="E53" s="97">
        <f t="shared" si="2"/>
        <v>0</v>
      </c>
    </row>
    <row r="54" spans="2:5" ht="13.5" thickBot="1">
      <c r="B54" s="300" t="s">
        <v>74</v>
      </c>
      <c r="C54" s="301"/>
      <c r="D54" s="97">
        <f>'EVALUACIÓN PRIVADA'!D55*rpcmoncr</f>
        <v>0</v>
      </c>
      <c r="E54" s="97">
        <f t="shared" si="2"/>
        <v>0</v>
      </c>
    </row>
    <row r="55" spans="2:5" ht="13.5" thickBot="1">
      <c r="B55" s="337" t="s">
        <v>4</v>
      </c>
      <c r="C55" s="338"/>
      <c r="D55" s="98">
        <f>SUM(D49:D54)</f>
        <v>0</v>
      </c>
      <c r="E55" s="98">
        <f t="shared" si="2"/>
        <v>0</v>
      </c>
    </row>
    <row r="56" spans="2:5" ht="13.5" thickBot="1">
      <c r="B56" s="31" t="s">
        <v>35</v>
      </c>
      <c r="C56" s="32"/>
      <c r="D56" s="42"/>
      <c r="E56" s="43"/>
    </row>
    <row r="57" spans="2:5" ht="13.5" thickBot="1">
      <c r="B57" s="300" t="s">
        <v>71</v>
      </c>
      <c r="C57" s="301"/>
      <c r="D57" s="97">
        <f>'EVALUACIÓN PRIVADA'!D58*rpcdivisa</f>
        <v>0</v>
      </c>
      <c r="E57" s="97">
        <f aca="true" t="shared" si="3" ref="E57:E63">SUM(D57:D57)</f>
        <v>0</v>
      </c>
    </row>
    <row r="58" spans="2:5" ht="13.5" thickBot="1">
      <c r="B58" s="300" t="s">
        <v>54</v>
      </c>
      <c r="C58" s="301"/>
      <c r="D58" s="97">
        <f>'EVALUACIÓN PRIVADA'!D59*1</f>
        <v>0</v>
      </c>
      <c r="E58" s="97">
        <f t="shared" si="3"/>
        <v>0</v>
      </c>
    </row>
    <row r="59" spans="2:5" ht="13.5" thickBot="1">
      <c r="B59" s="300" t="s">
        <v>53</v>
      </c>
      <c r="C59" s="301"/>
      <c r="D59" s="97">
        <f>'EVALUACIÓN PRIVADA'!D60*rpcmoc</f>
        <v>0</v>
      </c>
      <c r="E59" s="97">
        <f t="shared" si="3"/>
        <v>0</v>
      </c>
    </row>
    <row r="60" spans="2:5" ht="13.5" thickBot="1">
      <c r="B60" s="300" t="s">
        <v>72</v>
      </c>
      <c r="C60" s="301"/>
      <c r="D60" s="97">
        <f>'EVALUACIÓN PRIVADA'!D61*rpcmosc</f>
        <v>0</v>
      </c>
      <c r="E60" s="97">
        <f t="shared" si="3"/>
        <v>0</v>
      </c>
    </row>
    <row r="61" spans="2:5" ht="13.5" thickBot="1">
      <c r="B61" s="40" t="s">
        <v>73</v>
      </c>
      <c r="C61" s="41"/>
      <c r="D61" s="97">
        <f>'EVALUACIÓN PRIVADA'!D62*rpcmoncu</f>
        <v>0</v>
      </c>
      <c r="E61" s="97">
        <f t="shared" si="3"/>
        <v>0</v>
      </c>
    </row>
    <row r="62" spans="2:5" ht="13.5" thickBot="1">
      <c r="B62" s="300" t="s">
        <v>74</v>
      </c>
      <c r="C62" s="301"/>
      <c r="D62" s="97">
        <f>'EVALUACIÓN PRIVADA'!D63*rpcmoncr</f>
        <v>0</v>
      </c>
      <c r="E62" s="97">
        <f t="shared" si="3"/>
        <v>0</v>
      </c>
    </row>
    <row r="63" spans="2:5" ht="13.5" thickBot="1">
      <c r="B63" s="337" t="s">
        <v>4</v>
      </c>
      <c r="C63" s="338"/>
      <c r="D63" s="98">
        <f>SUM(D57:D62)</f>
        <v>0</v>
      </c>
      <c r="E63" s="98">
        <f t="shared" si="3"/>
        <v>0</v>
      </c>
    </row>
    <row r="64" spans="2:5" ht="13.5" thickBot="1">
      <c r="B64" s="31" t="s">
        <v>36</v>
      </c>
      <c r="C64" s="32"/>
      <c r="D64" s="42"/>
      <c r="E64" s="43"/>
    </row>
    <row r="65" spans="2:5" ht="13.5" thickBot="1">
      <c r="B65" s="300" t="s">
        <v>71</v>
      </c>
      <c r="C65" s="301"/>
      <c r="D65" s="97">
        <f>'EVALUACIÓN PRIVADA'!D66*rpcdivisa</f>
        <v>0</v>
      </c>
      <c r="E65" s="97">
        <f>SUM(D65:D65)</f>
        <v>0</v>
      </c>
    </row>
    <row r="66" spans="2:5" ht="13.5" thickBot="1">
      <c r="B66" s="300" t="s">
        <v>54</v>
      </c>
      <c r="C66" s="301"/>
      <c r="D66" s="97">
        <f>'EVALUACIÓN PRIVADA'!D67*1</f>
        <v>0</v>
      </c>
      <c r="E66" s="97">
        <f>SUM(D66:D66)</f>
        <v>0</v>
      </c>
    </row>
    <row r="67" spans="2:5" ht="13.5" thickBot="1">
      <c r="B67" s="337" t="s">
        <v>4</v>
      </c>
      <c r="C67" s="338"/>
      <c r="D67" s="98">
        <f>SUM(D65:D66)</f>
        <v>0</v>
      </c>
      <c r="E67" s="98">
        <f>SUM(D67:D67)</f>
        <v>0</v>
      </c>
    </row>
    <row r="68" spans="2:5" ht="13.5" thickBot="1">
      <c r="B68" s="45" t="s">
        <v>147</v>
      </c>
      <c r="C68" s="58"/>
      <c r="D68" s="98">
        <f>D47+D55+D63+D67</f>
        <v>0</v>
      </c>
      <c r="E68" s="98">
        <f>SUM(D68)</f>
        <v>0</v>
      </c>
    </row>
    <row r="69" spans="2:5" ht="13.5" thickBot="1">
      <c r="B69" s="31" t="s">
        <v>32</v>
      </c>
      <c r="C69" s="32"/>
      <c r="D69" s="32"/>
      <c r="E69" s="33"/>
    </row>
    <row r="70" spans="2:5" ht="13.5" thickBot="1">
      <c r="B70" s="31" t="s">
        <v>232</v>
      </c>
      <c r="C70" s="32"/>
      <c r="D70" s="32"/>
      <c r="E70" s="33"/>
    </row>
    <row r="71" spans="2:5" ht="13.5" thickBot="1">
      <c r="B71" s="300" t="s">
        <v>71</v>
      </c>
      <c r="C71" s="301"/>
      <c r="D71" s="97">
        <f>'EVALUACIÓN PRIVADA'!D73*rpcdivisa</f>
        <v>0</v>
      </c>
      <c r="E71" s="97">
        <f aca="true" t="shared" si="4" ref="E71:E93">SUM(D71:D71)</f>
        <v>0</v>
      </c>
    </row>
    <row r="72" spans="2:5" ht="13.5" thickBot="1">
      <c r="B72" s="300" t="s">
        <v>54</v>
      </c>
      <c r="C72" s="301"/>
      <c r="D72" s="97">
        <f>'EVALUACIÓN PRIVADA'!D74*1</f>
        <v>0</v>
      </c>
      <c r="E72" s="97">
        <f t="shared" si="4"/>
        <v>0</v>
      </c>
    </row>
    <row r="73" spans="2:5" ht="13.5" thickBot="1">
      <c r="B73" s="300" t="s">
        <v>53</v>
      </c>
      <c r="C73" s="301"/>
      <c r="D73" s="97">
        <f>'EVALUACIÓN PRIVADA'!D75*rpcmoc</f>
        <v>0</v>
      </c>
      <c r="E73" s="97">
        <f t="shared" si="4"/>
        <v>0</v>
      </c>
    </row>
    <row r="74" spans="2:5" ht="13.5" thickBot="1">
      <c r="B74" s="300" t="s">
        <v>72</v>
      </c>
      <c r="C74" s="301"/>
      <c r="D74" s="97">
        <f>'EVALUACIÓN PRIVADA'!D76*rpcmosc</f>
        <v>0</v>
      </c>
      <c r="E74" s="97">
        <f t="shared" si="4"/>
        <v>0</v>
      </c>
    </row>
    <row r="75" spans="2:5" ht="13.5" thickBot="1">
      <c r="B75" s="40" t="s">
        <v>73</v>
      </c>
      <c r="C75" s="41"/>
      <c r="D75" s="97">
        <f>'EVALUACIÓN PRIVADA'!D77*rpcmoncu</f>
        <v>0</v>
      </c>
      <c r="E75" s="97">
        <f t="shared" si="4"/>
        <v>0</v>
      </c>
    </row>
    <row r="76" spans="2:5" ht="13.5" thickBot="1">
      <c r="B76" s="300" t="s">
        <v>74</v>
      </c>
      <c r="C76" s="301"/>
      <c r="D76" s="97">
        <f>'EVALUACIÓN PRIVADA'!D78*rpcmoncr</f>
        <v>0</v>
      </c>
      <c r="E76" s="97">
        <f t="shared" si="4"/>
        <v>0</v>
      </c>
    </row>
    <row r="77" spans="2:5" ht="13.5" thickBot="1">
      <c r="B77" s="337" t="s">
        <v>4</v>
      </c>
      <c r="C77" s="338"/>
      <c r="D77" s="97">
        <f>SUM(D71:D76)</f>
        <v>0</v>
      </c>
      <c r="E77" s="97">
        <f t="shared" si="4"/>
        <v>0</v>
      </c>
    </row>
    <row r="78" spans="2:5" ht="13.5" thickBot="1">
      <c r="B78" s="31" t="s">
        <v>234</v>
      </c>
      <c r="C78" s="32"/>
      <c r="D78" s="32"/>
      <c r="E78" s="33"/>
    </row>
    <row r="79" spans="2:5" ht="13.5" thickBot="1">
      <c r="B79" s="300" t="s">
        <v>71</v>
      </c>
      <c r="C79" s="301"/>
      <c r="D79" s="97">
        <f>'EVALUACIÓN PRIVADA'!D81*rpcdivisa</f>
        <v>0</v>
      </c>
      <c r="E79" s="97">
        <f t="shared" si="4"/>
        <v>0</v>
      </c>
    </row>
    <row r="80" spans="2:5" ht="13.5" thickBot="1">
      <c r="B80" s="300" t="s">
        <v>54</v>
      </c>
      <c r="C80" s="301"/>
      <c r="D80" s="97">
        <f>'EVALUACIÓN PRIVADA'!D82*1</f>
        <v>0</v>
      </c>
      <c r="E80" s="97">
        <f t="shared" si="4"/>
        <v>0</v>
      </c>
    </row>
    <row r="81" spans="2:5" ht="13.5" thickBot="1">
      <c r="B81" s="300" t="s">
        <v>53</v>
      </c>
      <c r="C81" s="301"/>
      <c r="D81" s="97">
        <f>'EVALUACIÓN PRIVADA'!D83*rpcmoc</f>
        <v>0</v>
      </c>
      <c r="E81" s="97">
        <f t="shared" si="4"/>
        <v>0</v>
      </c>
    </row>
    <row r="82" spans="2:5" ht="13.5" thickBot="1">
      <c r="B82" s="300" t="s">
        <v>72</v>
      </c>
      <c r="C82" s="301"/>
      <c r="D82" s="97">
        <f>'EVALUACIÓN PRIVADA'!D84*rpcmosc</f>
        <v>0</v>
      </c>
      <c r="E82" s="97">
        <f t="shared" si="4"/>
        <v>0</v>
      </c>
    </row>
    <row r="83" spans="2:5" ht="13.5" thickBot="1">
      <c r="B83" s="40" t="s">
        <v>73</v>
      </c>
      <c r="C83" s="41"/>
      <c r="D83" s="97">
        <f>'EVALUACIÓN PRIVADA'!D85*rpcmoncu</f>
        <v>0</v>
      </c>
      <c r="E83" s="97">
        <f t="shared" si="4"/>
        <v>0</v>
      </c>
    </row>
    <row r="84" spans="2:5" ht="13.5" thickBot="1">
      <c r="B84" s="300" t="s">
        <v>74</v>
      </c>
      <c r="C84" s="301"/>
      <c r="D84" s="97">
        <f>'EVALUACIÓN PRIVADA'!D86*rpcmoncr</f>
        <v>0</v>
      </c>
      <c r="E84" s="97">
        <f t="shared" si="4"/>
        <v>0</v>
      </c>
    </row>
    <row r="85" spans="2:5" ht="13.5" thickBot="1">
      <c r="B85" s="337" t="s">
        <v>4</v>
      </c>
      <c r="C85" s="338"/>
      <c r="D85" s="97">
        <f>SUM(D79:D84)</f>
        <v>0</v>
      </c>
      <c r="E85" s="97">
        <f t="shared" si="4"/>
        <v>0</v>
      </c>
    </row>
    <row r="86" spans="2:5" ht="13.5" thickBot="1">
      <c r="B86" s="31" t="s">
        <v>233</v>
      </c>
      <c r="C86" s="32"/>
      <c r="D86" s="32"/>
      <c r="E86" s="33"/>
    </row>
    <row r="87" spans="2:5" ht="13.5" thickBot="1">
      <c r="B87" s="300" t="s">
        <v>71</v>
      </c>
      <c r="C87" s="301"/>
      <c r="D87" s="97">
        <f>'EVALUACIÓN PRIVADA'!D89*rpcdivisa</f>
        <v>0</v>
      </c>
      <c r="E87" s="97">
        <f t="shared" si="4"/>
        <v>0</v>
      </c>
    </row>
    <row r="88" spans="2:5" ht="13.5" thickBot="1">
      <c r="B88" s="300" t="s">
        <v>54</v>
      </c>
      <c r="C88" s="301"/>
      <c r="D88" s="97">
        <f>'EVALUACIÓN PRIVADA'!D90*1</f>
        <v>0</v>
      </c>
      <c r="E88" s="97">
        <f t="shared" si="4"/>
        <v>0</v>
      </c>
    </row>
    <row r="89" spans="2:5" ht="13.5" thickBot="1">
      <c r="B89" s="300" t="s">
        <v>53</v>
      </c>
      <c r="C89" s="301"/>
      <c r="D89" s="97">
        <f>'EVALUACIÓN PRIVADA'!D91*rpcmoc</f>
        <v>0</v>
      </c>
      <c r="E89" s="97">
        <f t="shared" si="4"/>
        <v>0</v>
      </c>
    </row>
    <row r="90" spans="2:5" ht="13.5" thickBot="1">
      <c r="B90" s="300" t="s">
        <v>72</v>
      </c>
      <c r="C90" s="301"/>
      <c r="D90" s="97">
        <f>'EVALUACIÓN PRIVADA'!D92*rpcmosc</f>
        <v>0</v>
      </c>
      <c r="E90" s="97">
        <f t="shared" si="4"/>
        <v>0</v>
      </c>
    </row>
    <row r="91" spans="2:5" ht="13.5" thickBot="1">
      <c r="B91" s="40" t="s">
        <v>73</v>
      </c>
      <c r="C91" s="41"/>
      <c r="D91" s="97">
        <f>'EVALUACIÓN PRIVADA'!D93*rpcmoncu</f>
        <v>0</v>
      </c>
      <c r="E91" s="97">
        <f t="shared" si="4"/>
        <v>0</v>
      </c>
    </row>
    <row r="92" spans="2:5" ht="13.5" thickBot="1">
      <c r="B92" s="300" t="s">
        <v>74</v>
      </c>
      <c r="C92" s="301"/>
      <c r="D92" s="97">
        <f>'EVALUACIÓN PRIVADA'!D94*rpcmoncr</f>
        <v>0</v>
      </c>
      <c r="E92" s="97">
        <f t="shared" si="4"/>
        <v>0</v>
      </c>
    </row>
    <row r="93" spans="2:5" ht="13.5" thickBot="1">
      <c r="B93" s="337" t="s">
        <v>4</v>
      </c>
      <c r="C93" s="338"/>
      <c r="D93" s="97">
        <f>SUM(D87:D92)</f>
        <v>0</v>
      </c>
      <c r="E93" s="97">
        <f t="shared" si="4"/>
        <v>0</v>
      </c>
    </row>
    <row r="94" spans="2:5" ht="13.5" thickBot="1">
      <c r="B94" s="45" t="s">
        <v>149</v>
      </c>
      <c r="C94" s="58"/>
      <c r="D94" s="97">
        <f>(D77+D85+D93)*CambioInversion</f>
        <v>0</v>
      </c>
      <c r="E94" s="97">
        <f>SUM(D94)</f>
        <v>0</v>
      </c>
    </row>
    <row r="95" spans="2:5" ht="13.5" thickBot="1">
      <c r="B95" s="45" t="s">
        <v>75</v>
      </c>
      <c r="C95" s="47"/>
      <c r="D95" s="47"/>
      <c r="E95" s="46"/>
    </row>
    <row r="96" spans="2:5" ht="13.5" hidden="1" thickBot="1">
      <c r="B96" s="300" t="s">
        <v>76</v>
      </c>
      <c r="C96" s="301"/>
      <c r="D96" s="97">
        <f>'EVALUACIÓN PRIVADA'!D99</f>
        <v>0</v>
      </c>
      <c r="E96" s="97">
        <f>SUM(D96)</f>
        <v>0</v>
      </c>
    </row>
    <row r="97" spans="2:5" ht="13.5" thickBot="1">
      <c r="B97" s="300" t="s">
        <v>77</v>
      </c>
      <c r="C97" s="301"/>
      <c r="D97" s="97">
        <f>'EVALUACIÓN PRIVADA'!D100</f>
        <v>0</v>
      </c>
      <c r="E97" s="97">
        <f>SUM(D97)</f>
        <v>0</v>
      </c>
    </row>
    <row r="98" spans="2:5" ht="13.5" thickBot="1">
      <c r="B98" s="337" t="s">
        <v>4</v>
      </c>
      <c r="C98" s="338"/>
      <c r="D98" s="97">
        <f>SUM(D97:D97)</f>
        <v>0</v>
      </c>
      <c r="E98" s="97">
        <f>SUM(D98:D98)</f>
        <v>0</v>
      </c>
    </row>
    <row r="99" spans="1:5" ht="13.5" thickBot="1">
      <c r="A99" s="3"/>
      <c r="B99" s="363"/>
      <c r="C99" s="363"/>
      <c r="D99" s="3"/>
      <c r="E99" s="3"/>
    </row>
    <row r="100" spans="2:5" ht="13.5" thickBot="1">
      <c r="B100" s="313" t="s">
        <v>5</v>
      </c>
      <c r="C100" s="314"/>
      <c r="D100" s="98">
        <f>D98+D94+D68</f>
        <v>0</v>
      </c>
      <c r="E100" s="98">
        <f>SUM(D100)</f>
        <v>0</v>
      </c>
    </row>
    <row r="101" ht="13.5" thickBot="1"/>
    <row r="102" spans="2:5" ht="13.5" thickBot="1">
      <c r="B102" s="313" t="s">
        <v>160</v>
      </c>
      <c r="C102" s="314"/>
      <c r="D102" s="98">
        <f>F32-D100</f>
        <v>0</v>
      </c>
      <c r="E102" s="98">
        <f>SUM(D102)</f>
        <v>0</v>
      </c>
    </row>
    <row r="104" spans="2:8" ht="13.5" hidden="1" thickBot="1">
      <c r="B104" s="313" t="s">
        <v>98</v>
      </c>
      <c r="C104" s="314"/>
      <c r="D104" s="181">
        <f>(D100)/(1+interessocial)^F22</f>
        <v>0</v>
      </c>
      <c r="F104" s="39">
        <f>(F26)/(1+interes)^F22</f>
        <v>0</v>
      </c>
      <c r="G104" s="313" t="s">
        <v>127</v>
      </c>
      <c r="H104" s="314"/>
    </row>
    <row r="105" spans="2:4" ht="13.5" hidden="1" thickBot="1">
      <c r="B105" s="313" t="s">
        <v>39</v>
      </c>
      <c r="C105" s="314"/>
      <c r="D105" s="181">
        <f>(F32-D100)/(1+interessocial)^F22</f>
        <v>0</v>
      </c>
    </row>
    <row r="106" spans="2:8" ht="13.5" hidden="1" thickBot="1">
      <c r="B106" s="313" t="s">
        <v>18</v>
      </c>
      <c r="C106" s="314"/>
      <c r="D106" s="181">
        <f>-PMT(interessocial,años1,vpcs)</f>
        <v>0</v>
      </c>
      <c r="F106" s="39">
        <f>IF(vads1&gt;0,vpcs/vads1,)</f>
        <v>0</v>
      </c>
      <c r="G106" s="313" t="s">
        <v>128</v>
      </c>
      <c r="H106" s="314"/>
    </row>
    <row r="107" spans="1:4" ht="13.5" hidden="1" thickBot="1">
      <c r="A107" s="3"/>
      <c r="B107" s="313" t="s">
        <v>194</v>
      </c>
      <c r="C107" s="314"/>
      <c r="D107" s="143"/>
    </row>
    <row r="108" spans="2:8" ht="13.5" hidden="1" thickBot="1">
      <c r="B108" s="313" t="s">
        <v>198</v>
      </c>
      <c r="C108" s="314"/>
      <c r="D108" s="181"/>
      <c r="F108" s="98">
        <f>IF(vpcs&lt;&gt;0,vais/vpcs,0)</f>
        <v>0</v>
      </c>
      <c r="G108" s="313" t="s">
        <v>199</v>
      </c>
      <c r="H108" s="314"/>
    </row>
  </sheetData>
  <sheetProtection sheet="1" objects="1" scenarios="1"/>
  <mergeCells count="75">
    <mergeCell ref="B89:C89"/>
    <mergeCell ref="B90:C90"/>
    <mergeCell ref="B92:C92"/>
    <mergeCell ref="B93:C93"/>
    <mergeCell ref="B84:C84"/>
    <mergeCell ref="B85:C85"/>
    <mergeCell ref="B87:C87"/>
    <mergeCell ref="B88:C88"/>
    <mergeCell ref="B79:C79"/>
    <mergeCell ref="B80:C80"/>
    <mergeCell ref="B81:C81"/>
    <mergeCell ref="B82:C82"/>
    <mergeCell ref="B17:E17"/>
    <mergeCell ref="F21:G21"/>
    <mergeCell ref="B28:E28"/>
    <mergeCell ref="B24:E24"/>
    <mergeCell ref="B26:E26"/>
    <mergeCell ref="B25:D25"/>
    <mergeCell ref="G22:G23"/>
    <mergeCell ref="B18:E18"/>
    <mergeCell ref="B21:E23"/>
    <mergeCell ref="B6:E6"/>
    <mergeCell ref="B7:E7"/>
    <mergeCell ref="B11:E11"/>
    <mergeCell ref="B8:E8"/>
    <mergeCell ref="B9:E9"/>
    <mergeCell ref="B10:E10"/>
    <mergeCell ref="B77:C77"/>
    <mergeCell ref="B60:C60"/>
    <mergeCell ref="B63:C63"/>
    <mergeCell ref="B65:C65"/>
    <mergeCell ref="B66:C66"/>
    <mergeCell ref="B51:C51"/>
    <mergeCell ref="B32:E32"/>
    <mergeCell ref="B29:E29"/>
    <mergeCell ref="B37:C39"/>
    <mergeCell ref="D37:E37"/>
    <mergeCell ref="E38:E39"/>
    <mergeCell ref="B30:E30"/>
    <mergeCell ref="B41:C41"/>
    <mergeCell ref="B46:C46"/>
    <mergeCell ref="B49:C49"/>
    <mergeCell ref="B52:C52"/>
    <mergeCell ref="B55:C55"/>
    <mergeCell ref="B57:C57"/>
    <mergeCell ref="B98:C98"/>
    <mergeCell ref="B54:C54"/>
    <mergeCell ref="B71:C71"/>
    <mergeCell ref="B76:C76"/>
    <mergeCell ref="B62:C62"/>
    <mergeCell ref="B59:C59"/>
    <mergeCell ref="B67:C67"/>
    <mergeCell ref="B50:C50"/>
    <mergeCell ref="B42:C42"/>
    <mergeCell ref="B43:C43"/>
    <mergeCell ref="B44:C44"/>
    <mergeCell ref="B47:C47"/>
    <mergeCell ref="B105:C105"/>
    <mergeCell ref="B102:C102"/>
    <mergeCell ref="B107:C107"/>
    <mergeCell ref="B96:C96"/>
    <mergeCell ref="B100:C100"/>
    <mergeCell ref="B106:C106"/>
    <mergeCell ref="B97:C97"/>
    <mergeCell ref="B99:C99"/>
    <mergeCell ref="B31:D31"/>
    <mergeCell ref="B108:C108"/>
    <mergeCell ref="G108:H108"/>
    <mergeCell ref="G106:H106"/>
    <mergeCell ref="B58:C58"/>
    <mergeCell ref="G104:H104"/>
    <mergeCell ref="B73:C73"/>
    <mergeCell ref="B74:C74"/>
    <mergeCell ref="B72:C72"/>
    <mergeCell ref="B104:C104"/>
  </mergeCells>
  <printOptions horizontalCentered="1" verticalCentered="1"/>
  <pageMargins left="0.75" right="0.75" top="1" bottom="1" header="0" footer="0"/>
  <pageSetup horizontalDpi="300" verticalDpi="300" orientation="landscape" scale="87" r:id="rId4"/>
  <headerFooter alignWithMargins="0">
    <oddFooter>&amp;L&amp;D&amp;RPágina &amp;P de &amp;N</oddFooter>
  </headerFooter>
  <rowBreaks count="2" manualBreakCount="2">
    <brk id="33" max="6" man="1"/>
    <brk id="68" max="6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B5:N81"/>
  <sheetViews>
    <sheetView showGridLines="0" showRowColHeaders="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85546875" style="0" customWidth="1"/>
    <col min="2" max="2" width="11.7109375" style="0" customWidth="1"/>
    <col min="3" max="3" width="11.28125" style="0" customWidth="1"/>
    <col min="4" max="9" width="10.28125" style="0" customWidth="1"/>
    <col min="10" max="10" width="11.140625" style="0" customWidth="1"/>
    <col min="11" max="14" width="10.28125" style="0" customWidth="1"/>
  </cols>
  <sheetData>
    <row r="1" ht="13.5" customHeight="1"/>
    <row r="2" ht="13.5" customHeight="1"/>
    <row r="3" ht="40.5" customHeight="1"/>
    <row r="4" ht="12.75" customHeight="1"/>
    <row r="5" spans="2:8" ht="15">
      <c r="B5" s="149" t="s">
        <v>214</v>
      </c>
      <c r="H5" s="149" t="s">
        <v>215</v>
      </c>
    </row>
    <row r="6" spans="2:10" ht="12.75" customHeight="1">
      <c r="B6" s="374" t="s">
        <v>0</v>
      </c>
      <c r="C6" s="374"/>
      <c r="D6" s="374" t="s">
        <v>7</v>
      </c>
      <c r="H6" s="374" t="s">
        <v>0</v>
      </c>
      <c r="I6" s="374"/>
      <c r="J6" s="374" t="s">
        <v>7</v>
      </c>
    </row>
    <row r="7" spans="2:10" ht="12.75">
      <c r="B7" s="374"/>
      <c r="C7" s="374"/>
      <c r="D7" s="374"/>
      <c r="H7" s="374"/>
      <c r="I7" s="374"/>
      <c r="J7" s="374"/>
    </row>
    <row r="8" spans="2:10" ht="12.75">
      <c r="B8" s="383" t="s">
        <v>125</v>
      </c>
      <c r="C8" s="383"/>
      <c r="D8" s="132">
        <f>vpcp</f>
        <v>0</v>
      </c>
      <c r="H8" s="383" t="s">
        <v>98</v>
      </c>
      <c r="I8" s="383"/>
      <c r="J8" s="132">
        <f>vpcs</f>
        <v>0</v>
      </c>
    </row>
    <row r="9" spans="2:10" ht="12.75">
      <c r="B9" s="375" t="s">
        <v>40</v>
      </c>
      <c r="C9" s="375"/>
      <c r="D9" s="192">
        <f>vanp1</f>
        <v>0</v>
      </c>
      <c r="H9" s="375" t="s">
        <v>39</v>
      </c>
      <c r="I9" s="375"/>
      <c r="J9" s="192">
        <f>vans1</f>
        <v>0</v>
      </c>
    </row>
    <row r="10" spans="2:10" ht="12.75">
      <c r="B10" s="379" t="s">
        <v>41</v>
      </c>
      <c r="C10" s="379"/>
      <c r="D10" s="132">
        <f>caep1</f>
        <v>0</v>
      </c>
      <c r="H10" s="379" t="s">
        <v>18</v>
      </c>
      <c r="I10" s="379"/>
      <c r="J10" s="132">
        <f>caes1</f>
        <v>0</v>
      </c>
    </row>
    <row r="11" spans="2:10" ht="12.75">
      <c r="B11" s="133" t="s">
        <v>192</v>
      </c>
      <c r="C11" s="134">
        <v>0.1</v>
      </c>
      <c r="D11" s="139">
        <f>IF(ISERROR(tirp),0,tirp)</f>
        <v>0</v>
      </c>
      <c r="H11" s="133" t="s">
        <v>194</v>
      </c>
      <c r="I11" s="134">
        <v>0.1</v>
      </c>
      <c r="J11" s="139">
        <f>IF(ISERROR(tirs),0,tirs)</f>
        <v>0</v>
      </c>
    </row>
    <row r="12" spans="2:10" ht="12.75">
      <c r="B12" s="379" t="s">
        <v>193</v>
      </c>
      <c r="C12" s="379"/>
      <c r="D12" s="132">
        <f>BeneficioCostoPrivado</f>
        <v>0</v>
      </c>
      <c r="H12" s="379" t="s">
        <v>195</v>
      </c>
      <c r="I12" s="379"/>
      <c r="J12" s="132">
        <f>BeneficioCostoSocial</f>
        <v>0</v>
      </c>
    </row>
    <row r="14" ht="15">
      <c r="B14" s="149" t="s">
        <v>216</v>
      </c>
    </row>
    <row r="15" spans="2:8" ht="16.5" customHeight="1">
      <c r="B15" s="384" t="s">
        <v>244</v>
      </c>
      <c r="C15" s="384"/>
      <c r="D15" s="384"/>
      <c r="E15" s="384"/>
      <c r="F15" s="384"/>
      <c r="G15" s="384"/>
      <c r="H15" s="384"/>
    </row>
    <row r="16" spans="2:6" ht="12.75">
      <c r="B16" s="374" t="s">
        <v>0</v>
      </c>
      <c r="C16" s="374"/>
      <c r="D16" s="374" t="s">
        <v>7</v>
      </c>
      <c r="E16" s="373" t="str">
        <f>IF('EVALUACIÓN PRIVADA'!B1=TRUE,"Indicadores Estándar              Bs.","Indicadores Estándar             U.S.$")</f>
        <v>Indicadores Estándar             U.S.$</v>
      </c>
      <c r="F16" s="373"/>
    </row>
    <row r="17" spans="2:13" ht="20.25" customHeight="1">
      <c r="B17" s="374"/>
      <c r="C17" s="374"/>
      <c r="D17" s="374"/>
      <c r="E17" s="373"/>
      <c r="F17" s="373"/>
      <c r="M17" s="148"/>
    </row>
    <row r="18" spans="2:13" ht="12.75" customHeight="1">
      <c r="B18" s="374"/>
      <c r="C18" s="374"/>
      <c r="D18" s="374"/>
      <c r="E18" s="131" t="s">
        <v>203</v>
      </c>
      <c r="F18" s="131" t="s">
        <v>204</v>
      </c>
      <c r="M18" s="148"/>
    </row>
    <row r="19" spans="2:13" ht="12.75" customHeight="1">
      <c r="B19" s="375" t="s">
        <v>326</v>
      </c>
      <c r="C19" s="375"/>
      <c r="D19" s="192">
        <f>IF(Potencia&gt;0,(CostosGeneracion+CostosMediaTension)/Potencia,)</f>
        <v>0</v>
      </c>
      <c r="E19" s="152">
        <f>IF('EVALUACIÓN PRIVADA'!B1=TRUE,J63*TipodeCambio,J63)</f>
        <v>2799.25</v>
      </c>
      <c r="F19" s="152">
        <f>IF('EVALUACIÓN PRIVADA'!B1=TRUE,K63*TipodeCambio,K63)</f>
        <v>2407.12</v>
      </c>
      <c r="M19" s="147"/>
    </row>
    <row r="20" spans="2:6" ht="12.75">
      <c r="B20" s="375" t="s">
        <v>327</v>
      </c>
      <c r="C20" s="375"/>
      <c r="D20" s="192">
        <f>IF(usuarios&gt;0,(CostosGeneracion+CostosMediaTension)/usuarios,)</f>
        <v>0</v>
      </c>
      <c r="E20" s="152">
        <f>IF('EVALUACIÓN PRIVADA'!B1=TRUE,J69*TipodeCambio,J69)</f>
        <v>1362.43</v>
      </c>
      <c r="F20" s="152">
        <f>IF('EVALUACIÓN PRIVADA'!B1=TRUE,K69*TipodeCambio,K69)</f>
        <v>955.31</v>
      </c>
    </row>
    <row r="21" spans="2:4" ht="12.75">
      <c r="B21" s="379" t="s">
        <v>225</v>
      </c>
      <c r="C21" s="379"/>
      <c r="D21" s="132">
        <f>IF(Potencia&gt;0,vpcp/Potencia,)</f>
        <v>0</v>
      </c>
    </row>
    <row r="22" spans="2:9" ht="12.75" customHeight="1">
      <c r="B22" s="379" t="s">
        <v>223</v>
      </c>
      <c r="C22" s="379"/>
      <c r="D22" s="132">
        <f>cap1</f>
        <v>0</v>
      </c>
      <c r="F22" s="284" t="s">
        <v>305</v>
      </c>
      <c r="G22" s="385"/>
      <c r="H22" s="285"/>
      <c r="I22" s="183"/>
    </row>
    <row r="23" spans="2:9" ht="12.75">
      <c r="B23" s="379" t="s">
        <v>226</v>
      </c>
      <c r="C23" s="379"/>
      <c r="D23" s="132">
        <f>IF(Potencia&gt;0,vpcs/Potencia,)</f>
        <v>0</v>
      </c>
      <c r="F23" s="286"/>
      <c r="G23" s="386"/>
      <c r="H23" s="287"/>
      <c r="I23" s="183"/>
    </row>
    <row r="24" spans="2:9" ht="12.75">
      <c r="B24" s="379" t="s">
        <v>224</v>
      </c>
      <c r="C24" s="379"/>
      <c r="D24" s="132">
        <f>cas1</f>
        <v>0</v>
      </c>
      <c r="F24" s="288"/>
      <c r="G24" s="387"/>
      <c r="H24" s="289"/>
      <c r="I24" s="183"/>
    </row>
    <row r="26" spans="2:8" ht="17.25" customHeight="1" hidden="1">
      <c r="B26" s="384" t="s">
        <v>245</v>
      </c>
      <c r="C26" s="384"/>
      <c r="D26" s="384"/>
      <c r="E26" s="384"/>
      <c r="F26" s="384"/>
      <c r="G26" s="384"/>
      <c r="H26" s="384"/>
    </row>
    <row r="27" spans="2:6" ht="12.75" hidden="1">
      <c r="B27" s="374" t="s">
        <v>0</v>
      </c>
      <c r="C27" s="374"/>
      <c r="D27" s="374" t="s">
        <v>7</v>
      </c>
      <c r="E27" s="373" t="str">
        <f>IF('EVALUACIÓN PRIVADA'!B1=TRUE,"Indicadores Estándar              Bs.","Indicadores Estándar             U.S.$")</f>
        <v>Indicadores Estándar             U.S.$</v>
      </c>
      <c r="F27" s="373"/>
    </row>
    <row r="28" spans="2:6" ht="12.75" hidden="1">
      <c r="B28" s="374"/>
      <c r="C28" s="374"/>
      <c r="D28" s="374"/>
      <c r="E28" s="373"/>
      <c r="F28" s="373"/>
    </row>
    <row r="29" spans="2:6" ht="12.75" hidden="1">
      <c r="B29" s="374"/>
      <c r="C29" s="374"/>
      <c r="D29" s="374"/>
      <c r="E29" s="131" t="s">
        <v>203</v>
      </c>
      <c r="F29" s="131" t="s">
        <v>204</v>
      </c>
    </row>
    <row r="30" spans="2:6" ht="12.75" hidden="1">
      <c r="B30" s="379" t="s">
        <v>213</v>
      </c>
      <c r="C30" s="379"/>
      <c r="D30" s="132">
        <f>IF(Potencia&gt;0,(CostosGeneracion+CostosMediaTension)/Potencia,)</f>
        <v>0</v>
      </c>
      <c r="E30" s="152">
        <f>IF('EVALUACIÓN PRIVADA'!B1=TRUE,J63*TipodeCambio,J63)</f>
        <v>2799.25</v>
      </c>
      <c r="F30" s="152">
        <f>IF('EVALUACIÓN PRIVADA'!B1=TRUE,K63*TipodeCambio,K63)</f>
        <v>2407.12</v>
      </c>
    </row>
    <row r="31" spans="2:6" ht="12.75" hidden="1">
      <c r="B31" s="379" t="s">
        <v>210</v>
      </c>
      <c r="C31" s="379"/>
      <c r="D31" s="132">
        <f>IF(usuarios&gt;0,(CostosGeneracion+CostosMediaTension)/usuarios,)</f>
        <v>0</v>
      </c>
      <c r="E31" s="152">
        <f>IF('EVALUACIÓN PRIVADA'!B1=TRUE,J69*TipodeCambio,J69)</f>
        <v>1362.43</v>
      </c>
      <c r="F31" s="152">
        <f>IF('EVALUACIÓN PRIVADA'!$B$1=TRUE,K69*TipodeCambio,K69)</f>
        <v>955.31</v>
      </c>
    </row>
    <row r="32" spans="2:4" ht="12.75" hidden="1">
      <c r="B32" s="379" t="s">
        <v>225</v>
      </c>
      <c r="C32" s="379"/>
      <c r="D32" s="132">
        <f>IF(Potencia&gt;0,vpcp/Potencia,)</f>
        <v>0</v>
      </c>
    </row>
    <row r="33" spans="2:9" ht="12.75" customHeight="1" hidden="1">
      <c r="B33" s="379" t="s">
        <v>223</v>
      </c>
      <c r="C33" s="379"/>
      <c r="D33" s="132">
        <f>cap1</f>
        <v>0</v>
      </c>
      <c r="F33" s="284" t="s">
        <v>305</v>
      </c>
      <c r="G33" s="385"/>
      <c r="H33" s="285"/>
      <c r="I33" s="182"/>
    </row>
    <row r="34" spans="2:9" ht="12.75" hidden="1">
      <c r="B34" s="379" t="s">
        <v>226</v>
      </c>
      <c r="C34" s="379"/>
      <c r="D34" s="132">
        <f>IF(Potencia&gt;0,vpcs/Potencia,)</f>
        <v>0</v>
      </c>
      <c r="F34" s="286"/>
      <c r="G34" s="386"/>
      <c r="H34" s="287"/>
      <c r="I34" s="182"/>
    </row>
    <row r="35" spans="2:9" ht="12.75" hidden="1">
      <c r="B35" s="379" t="s">
        <v>224</v>
      </c>
      <c r="C35" s="379"/>
      <c r="D35" s="132">
        <f>cas1</f>
        <v>0</v>
      </c>
      <c r="F35" s="288"/>
      <c r="G35" s="387"/>
      <c r="H35" s="289"/>
      <c r="I35" s="182"/>
    </row>
    <row r="36" ht="12.75" hidden="1"/>
    <row r="37" spans="2:7" ht="17.25" customHeight="1" hidden="1">
      <c r="B37" s="389" t="s">
        <v>246</v>
      </c>
      <c r="C37" s="389"/>
      <c r="D37" s="389"/>
      <c r="E37" s="389"/>
      <c r="F37" s="389"/>
      <c r="G37" s="389"/>
    </row>
    <row r="38" spans="2:6" ht="12.75" hidden="1">
      <c r="B38" s="374" t="s">
        <v>0</v>
      </c>
      <c r="C38" s="374"/>
      <c r="D38" s="374" t="s">
        <v>7</v>
      </c>
      <c r="E38" s="373" t="str">
        <f>IF('EVALUACIÓN PRIVADA'!B1=TRUE,"Indicadores Estándar              Bs.","Indicadores Estándar             U.S.$")</f>
        <v>Indicadores Estándar             U.S.$</v>
      </c>
      <c r="F38" s="373"/>
    </row>
    <row r="39" spans="2:6" ht="12.75" hidden="1">
      <c r="B39" s="374"/>
      <c r="C39" s="374"/>
      <c r="D39" s="374"/>
      <c r="E39" s="373"/>
      <c r="F39" s="373"/>
    </row>
    <row r="40" spans="2:6" ht="12.75" hidden="1">
      <c r="B40" s="374"/>
      <c r="C40" s="374"/>
      <c r="D40" s="374"/>
      <c r="E40" s="131" t="s">
        <v>203</v>
      </c>
      <c r="F40" s="131" t="s">
        <v>204</v>
      </c>
    </row>
    <row r="41" spans="2:6" ht="12.75" hidden="1">
      <c r="B41" s="379" t="s">
        <v>213</v>
      </c>
      <c r="C41" s="379"/>
      <c r="D41" s="132">
        <f>IF(Potencia&gt;0,CostosGeneracion/Potencia,)</f>
        <v>0</v>
      </c>
      <c r="E41" s="152">
        <f>IF('EVALUACIÓN PRIVADA'!B1=TRUE,J63*TipodeCambio,J63)</f>
        <v>2799.25</v>
      </c>
      <c r="F41" s="152">
        <f>IF('EVALUACIÓN PRIVADA'!B1=TRUE,K63*TipodeCambio,K63)</f>
        <v>2407.12</v>
      </c>
    </row>
    <row r="42" spans="2:7" ht="12.75" hidden="1">
      <c r="B42" s="379" t="s">
        <v>210</v>
      </c>
      <c r="C42" s="379"/>
      <c r="D42" s="132">
        <f>IF(usuarios&gt;0,CostosGeneracion/usuarios,)</f>
        <v>0</v>
      </c>
      <c r="E42" s="152">
        <f>IF('EVALUACIÓN PRIVADA'!$B$1=TRUE,J69*TipodeCambio,J69)</f>
        <v>1362.43</v>
      </c>
      <c r="F42" s="152">
        <f>IF('EVALUACIÓN PRIVADA'!$B$1=TRUE,K69*TipodeCambio,K69)</f>
        <v>955.31</v>
      </c>
      <c r="G42" s="5"/>
    </row>
    <row r="43" spans="2:7" ht="12.75" hidden="1">
      <c r="B43" s="379" t="s">
        <v>225</v>
      </c>
      <c r="C43" s="379"/>
      <c r="D43" s="132">
        <f>IF(Potencia&gt;0,vpcp/Potencia,)</f>
        <v>0</v>
      </c>
      <c r="G43" s="5"/>
    </row>
    <row r="44" spans="2:9" ht="12.75" customHeight="1" hidden="1">
      <c r="B44" s="379" t="s">
        <v>223</v>
      </c>
      <c r="C44" s="379"/>
      <c r="D44" s="132">
        <f>cap1</f>
        <v>0</v>
      </c>
      <c r="F44" s="284" t="s">
        <v>306</v>
      </c>
      <c r="G44" s="385"/>
      <c r="H44" s="285"/>
      <c r="I44" s="182"/>
    </row>
    <row r="45" spans="2:9" ht="12.75" hidden="1">
      <c r="B45" s="379" t="s">
        <v>226</v>
      </c>
      <c r="C45" s="379"/>
      <c r="D45" s="132">
        <f>IF(Potencia&gt;0,vpcs/Potencia,)</f>
        <v>0</v>
      </c>
      <c r="F45" s="286"/>
      <c r="G45" s="386"/>
      <c r="H45" s="287"/>
      <c r="I45" s="182"/>
    </row>
    <row r="46" spans="2:9" ht="12.75" hidden="1">
      <c r="B46" s="379" t="s">
        <v>224</v>
      </c>
      <c r="C46" s="379"/>
      <c r="D46" s="132">
        <f>cas1</f>
        <v>0</v>
      </c>
      <c r="F46" s="288"/>
      <c r="G46" s="387"/>
      <c r="H46" s="289"/>
      <c r="I46" s="182"/>
    </row>
    <row r="47" ht="12.75" hidden="1">
      <c r="G47" s="5"/>
    </row>
    <row r="48" spans="2:7" ht="18.75" customHeight="1" hidden="1">
      <c r="B48" s="388" t="s">
        <v>247</v>
      </c>
      <c r="C48" s="388"/>
      <c r="D48" s="388"/>
      <c r="E48" s="388"/>
      <c r="F48" s="388"/>
      <c r="G48" s="5"/>
    </row>
    <row r="49" spans="2:7" ht="12.75" hidden="1">
      <c r="B49" s="374" t="s">
        <v>0</v>
      </c>
      <c r="C49" s="374"/>
      <c r="D49" s="374" t="s">
        <v>7</v>
      </c>
      <c r="E49" s="373" t="str">
        <f>IF('EVALUACIÓN PRIVADA'!B1=TRUE,"Indicadores Estándar              Bs.","Indicadores Estándar             U.S.$")</f>
        <v>Indicadores Estándar             U.S.$</v>
      </c>
      <c r="F49" s="373"/>
      <c r="G49" s="5"/>
    </row>
    <row r="50" spans="2:7" ht="12.75" hidden="1">
      <c r="B50" s="374"/>
      <c r="C50" s="374"/>
      <c r="D50" s="374"/>
      <c r="E50" s="373"/>
      <c r="F50" s="373"/>
      <c r="G50" s="5"/>
    </row>
    <row r="51" spans="2:9" ht="12.75" hidden="1">
      <c r="B51" s="374"/>
      <c r="C51" s="374"/>
      <c r="D51" s="374"/>
      <c r="E51" s="131" t="s">
        <v>203</v>
      </c>
      <c r="F51" s="131" t="s">
        <v>204</v>
      </c>
      <c r="G51" s="284" t="s">
        <v>307</v>
      </c>
      <c r="H51" s="385"/>
      <c r="I51" s="285"/>
    </row>
    <row r="52" spans="2:10" ht="12.75" customHeight="1" hidden="1">
      <c r="B52" s="379" t="s">
        <v>242</v>
      </c>
      <c r="C52" s="379"/>
      <c r="D52" s="132">
        <f>IF(KmdeRed&gt;0,CostosMediaTension/KmdeRed,)</f>
        <v>0</v>
      </c>
      <c r="E52" s="152">
        <f>IF('EVALUACIÓN PRIVADA'!B1=TRUE,IF(DIFICULTAD="A",C63*TipodeCambio,IF(DIFICULTAD="B",E63*TipodeCambio,G63*TipodeCambio)),IF(DIFICULTAD="A",C63,IF(DIFICULTAD="B",E63,G63)))</f>
        <v>9163.84</v>
      </c>
      <c r="F52" s="152">
        <f>IF('EVALUACIÓN PRIVADA'!B1=TRUE,IF(DIFICULTAD="A",D63*TipodeCambio,IF(DIFICULTAD="B",F63*TipodeCambio,H63*TipodeCambio)),IF(DIFICULTAD="A",D63,IF(DIFICULTAD="B",F63,H63)))</f>
        <v>7789.06</v>
      </c>
      <c r="G52" s="286"/>
      <c r="H52" s="386"/>
      <c r="I52" s="287"/>
      <c r="J52" s="183"/>
    </row>
    <row r="53" spans="2:10" ht="12.75" hidden="1">
      <c r="B53" s="379" t="s">
        <v>243</v>
      </c>
      <c r="C53" s="379"/>
      <c r="D53" s="132">
        <f>IF(KmDeRedBaja&gt;0,CostosBajaTension/KmDeRedBaja,)</f>
        <v>0</v>
      </c>
      <c r="E53" s="152">
        <f>IF('EVALUACIÓN PRIVADA'!B1=TRUE,IF(DIFICULTAD="A",C64*TipodeCambio,IF(DIFICULTAD="B",E64*TipodeCambio,G64*TipodeCambio)),IF(DIFICULTAD="A",C64,IF(DIFICULTAD="B",E64,G64)))</f>
        <v>4109.33</v>
      </c>
      <c r="F53" s="152">
        <f>IF('EVALUACIÓN PRIVADA'!B1=TRUE,IF(DIFICULTAD="A",D64*TipodeCambio,IF(DIFICULTAD="B",F64*TipodeCambio,H64*TipodeCambio)),IF(DIFICULTAD="A",D64,IF(DIFICULTAD="B",F64,H64)))</f>
        <v>2973.09</v>
      </c>
      <c r="G53" s="286"/>
      <c r="H53" s="386"/>
      <c r="I53" s="287"/>
      <c r="J53" s="183"/>
    </row>
    <row r="54" spans="2:10" ht="12.75" hidden="1">
      <c r="B54" s="379" t="s">
        <v>210</v>
      </c>
      <c r="C54" s="379"/>
      <c r="D54" s="132">
        <f>IF(usuarios&gt;0,CostosInversion/usuarios,)</f>
        <v>0</v>
      </c>
      <c r="E54" s="152">
        <f>IF('EVALUACIÓN PRIVADA'!B1=TRUE,IF(DIFICULTAD="A",C69*TipodeCambio,IF(DIFICULTAD="B",E69*TipodeCambio,G69*TipodeCambio)),IF(DIFICULTAD="A",C69,IF(DIFICULTAD="B",E69,G69)))</f>
        <v>625.86</v>
      </c>
      <c r="F54" s="152">
        <f>IF('EVALUACIÓN PRIVADA'!B1=TRUE,IF(DIFICULTAD="A",D69*TipodeCambio,IF(DIFICULTAD="B",F69*TipodeCambio,H69*TipodeCambio)),IF(DIFICULTAD="A",D69,IF(DIFICULTAD="B",F69,H69)))</f>
        <v>535.3</v>
      </c>
      <c r="G54" s="288"/>
      <c r="H54" s="387"/>
      <c r="I54" s="289"/>
      <c r="J54" s="183"/>
    </row>
    <row r="55" spans="2:4" ht="12.75" hidden="1">
      <c r="B55" s="379" t="s">
        <v>227</v>
      </c>
      <c r="C55" s="379"/>
      <c r="D55" s="132">
        <f>IF(KmdeRed&gt;0,vpcp/KmdeRed,)</f>
        <v>0</v>
      </c>
    </row>
    <row r="56" spans="2:7" ht="12.75" hidden="1">
      <c r="B56" s="379" t="s">
        <v>228</v>
      </c>
      <c r="C56" s="379"/>
      <c r="D56" s="132">
        <f>IF(KmdeRed&gt;0,vpcs/KmdeRed,)</f>
        <v>0</v>
      </c>
      <c r="G56" s="5"/>
    </row>
    <row r="57" ht="12.75" hidden="1">
      <c r="G57" s="5"/>
    </row>
    <row r="58" ht="12.75">
      <c r="G58" s="5"/>
    </row>
    <row r="59" ht="17.25" customHeight="1">
      <c r="B59" s="150" t="s">
        <v>217</v>
      </c>
    </row>
    <row r="60" spans="2:11" ht="13.5" customHeight="1" hidden="1">
      <c r="B60" s="381" t="s">
        <v>211</v>
      </c>
      <c r="C60" s="376" t="s">
        <v>235</v>
      </c>
      <c r="D60" s="377"/>
      <c r="E60" s="377"/>
      <c r="F60" s="377"/>
      <c r="G60" s="377"/>
      <c r="H60" s="378"/>
      <c r="J60" s="369" t="s">
        <v>241</v>
      </c>
      <c r="K60" s="370"/>
    </row>
    <row r="61" spans="2:11" ht="13.5" customHeight="1" hidden="1">
      <c r="B61" s="382"/>
      <c r="C61" s="376" t="s">
        <v>231</v>
      </c>
      <c r="D61" s="378"/>
      <c r="E61" s="376" t="s">
        <v>230</v>
      </c>
      <c r="F61" s="378"/>
      <c r="G61" s="376" t="s">
        <v>229</v>
      </c>
      <c r="H61" s="378"/>
      <c r="J61" s="371"/>
      <c r="K61" s="372"/>
    </row>
    <row r="62" spans="2:11" ht="13.5" customHeight="1" hidden="1">
      <c r="B62" s="141" t="s">
        <v>248</v>
      </c>
      <c r="C62" s="145" t="s">
        <v>203</v>
      </c>
      <c r="D62" s="145" t="s">
        <v>204</v>
      </c>
      <c r="E62" s="145" t="s">
        <v>203</v>
      </c>
      <c r="F62" s="145" t="s">
        <v>204</v>
      </c>
      <c r="G62" s="145" t="s">
        <v>203</v>
      </c>
      <c r="H62" s="145" t="s">
        <v>204</v>
      </c>
      <c r="J62" s="145" t="s">
        <v>203</v>
      </c>
      <c r="K62" s="145" t="s">
        <v>204</v>
      </c>
    </row>
    <row r="63" spans="2:11" ht="13.5" customHeight="1" hidden="1">
      <c r="B63" s="129" t="s">
        <v>236</v>
      </c>
      <c r="C63" s="151">
        <v>9163.84</v>
      </c>
      <c r="D63" s="151">
        <v>7789.06</v>
      </c>
      <c r="E63" s="151">
        <v>9163.84</v>
      </c>
      <c r="F63" s="151">
        <v>7789.06</v>
      </c>
      <c r="G63" s="151">
        <v>9163.84</v>
      </c>
      <c r="H63" s="151">
        <v>7789.06</v>
      </c>
      <c r="J63" s="151">
        <v>2799.25</v>
      </c>
      <c r="K63" s="151">
        <v>2407.12</v>
      </c>
    </row>
    <row r="64" spans="2:8" ht="13.5" customHeight="1" hidden="1">
      <c r="B64" s="129" t="s">
        <v>237</v>
      </c>
      <c r="C64" s="151">
        <v>4109.33</v>
      </c>
      <c r="D64" s="151">
        <v>2973.09</v>
      </c>
      <c r="E64" s="151">
        <v>4109.33</v>
      </c>
      <c r="F64" s="151">
        <v>2973.09</v>
      </c>
      <c r="G64" s="151">
        <v>4109.33</v>
      </c>
      <c r="H64" s="151">
        <v>2973.09</v>
      </c>
    </row>
    <row r="65" ht="13.5" customHeight="1" hidden="1"/>
    <row r="66" spans="2:11" ht="13.5" customHeight="1" hidden="1">
      <c r="B66" s="370" t="s">
        <v>249</v>
      </c>
      <c r="C66" s="376" t="s">
        <v>238</v>
      </c>
      <c r="D66" s="377"/>
      <c r="E66" s="377"/>
      <c r="F66" s="377"/>
      <c r="G66" s="377"/>
      <c r="H66" s="378"/>
      <c r="J66" s="369" t="s">
        <v>240</v>
      </c>
      <c r="K66" s="370"/>
    </row>
    <row r="67" spans="2:11" ht="13.5" customHeight="1" hidden="1">
      <c r="B67" s="380"/>
      <c r="C67" s="376" t="s">
        <v>200</v>
      </c>
      <c r="D67" s="378"/>
      <c r="E67" s="376" t="s">
        <v>201</v>
      </c>
      <c r="F67" s="378"/>
      <c r="G67" s="376" t="s">
        <v>202</v>
      </c>
      <c r="H67" s="378"/>
      <c r="J67" s="371"/>
      <c r="K67" s="372"/>
    </row>
    <row r="68" spans="2:11" ht="13.5" customHeight="1" hidden="1">
      <c r="B68" s="380"/>
      <c r="C68" s="145" t="s">
        <v>203</v>
      </c>
      <c r="D68" s="145" t="s">
        <v>204</v>
      </c>
      <c r="E68" s="145" t="s">
        <v>203</v>
      </c>
      <c r="F68" s="145" t="s">
        <v>204</v>
      </c>
      <c r="G68" s="145" t="s">
        <v>203</v>
      </c>
      <c r="H68" s="145" t="s">
        <v>204</v>
      </c>
      <c r="J68" s="145" t="s">
        <v>203</v>
      </c>
      <c r="K68" s="145" t="s">
        <v>204</v>
      </c>
    </row>
    <row r="69" spans="2:11" ht="13.5" customHeight="1" hidden="1">
      <c r="B69" s="372"/>
      <c r="C69" s="151">
        <v>625.86</v>
      </c>
      <c r="D69" s="151">
        <v>535.3</v>
      </c>
      <c r="E69" s="151">
        <v>625.86</v>
      </c>
      <c r="F69" s="151">
        <v>535.3</v>
      </c>
      <c r="G69" s="151">
        <v>625.86</v>
      </c>
      <c r="H69" s="151">
        <v>535.3</v>
      </c>
      <c r="J69" s="151">
        <v>1362.43</v>
      </c>
      <c r="K69" s="151">
        <v>955.31</v>
      </c>
    </row>
    <row r="70" ht="13.5" customHeight="1" hidden="1"/>
    <row r="71" ht="13.5" customHeight="1"/>
    <row r="72" ht="13.5" customHeight="1"/>
    <row r="73" spans="2:14" ht="13.5" customHeight="1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</row>
    <row r="74" ht="13.5" customHeight="1"/>
    <row r="75" ht="13.5" customHeight="1">
      <c r="J75" s="130"/>
    </row>
    <row r="76" ht="13.5" customHeight="1"/>
    <row r="77" ht="13.5" customHeight="1"/>
    <row r="78" ht="13.5" customHeight="1"/>
    <row r="79" ht="13.5" customHeight="1"/>
    <row r="80" ht="13.5" customHeight="1"/>
    <row r="81" spans="2:14" ht="13.5" customHeight="1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 sheet="1" objects="1" scenarios="1"/>
  <mergeCells count="67">
    <mergeCell ref="G51:I54"/>
    <mergeCell ref="B41:C41"/>
    <mergeCell ref="B48:F48"/>
    <mergeCell ref="B37:G37"/>
    <mergeCell ref="D38:D40"/>
    <mergeCell ref="B43:C43"/>
    <mergeCell ref="B44:C44"/>
    <mergeCell ref="B45:C45"/>
    <mergeCell ref="B46:C46"/>
    <mergeCell ref="B42:C42"/>
    <mergeCell ref="F44:H46"/>
    <mergeCell ref="B31:C31"/>
    <mergeCell ref="B38:C40"/>
    <mergeCell ref="E38:F39"/>
    <mergeCell ref="B32:C32"/>
    <mergeCell ref="B33:C33"/>
    <mergeCell ref="B34:C34"/>
    <mergeCell ref="B35:C35"/>
    <mergeCell ref="F33:H35"/>
    <mergeCell ref="B22:C22"/>
    <mergeCell ref="B27:C29"/>
    <mergeCell ref="D27:D29"/>
    <mergeCell ref="B30:C30"/>
    <mergeCell ref="B26:H26"/>
    <mergeCell ref="F22:H24"/>
    <mergeCell ref="J6:J7"/>
    <mergeCell ref="B10:C10"/>
    <mergeCell ref="B6:C7"/>
    <mergeCell ref="D6:D7"/>
    <mergeCell ref="B9:C9"/>
    <mergeCell ref="H9:I9"/>
    <mergeCell ref="H10:I10"/>
    <mergeCell ref="H6:I7"/>
    <mergeCell ref="H8:I8"/>
    <mergeCell ref="H12:I12"/>
    <mergeCell ref="E16:F17"/>
    <mergeCell ref="B8:C8"/>
    <mergeCell ref="B15:H15"/>
    <mergeCell ref="B12:C12"/>
    <mergeCell ref="G61:H61"/>
    <mergeCell ref="J60:K61"/>
    <mergeCell ref="B20:C20"/>
    <mergeCell ref="B49:C51"/>
    <mergeCell ref="B60:B61"/>
    <mergeCell ref="E27:F28"/>
    <mergeCell ref="B23:C23"/>
    <mergeCell ref="B24:C24"/>
    <mergeCell ref="D49:D51"/>
    <mergeCell ref="B21:C21"/>
    <mergeCell ref="C67:D67"/>
    <mergeCell ref="B52:C52"/>
    <mergeCell ref="B54:C54"/>
    <mergeCell ref="E61:F61"/>
    <mergeCell ref="B66:B69"/>
    <mergeCell ref="B55:C55"/>
    <mergeCell ref="B56:C56"/>
    <mergeCell ref="B53:C53"/>
    <mergeCell ref="J66:K67"/>
    <mergeCell ref="E49:F50"/>
    <mergeCell ref="B16:C18"/>
    <mergeCell ref="D16:D18"/>
    <mergeCell ref="B19:C19"/>
    <mergeCell ref="C66:H66"/>
    <mergeCell ref="C60:H60"/>
    <mergeCell ref="C61:D61"/>
    <mergeCell ref="E67:F67"/>
    <mergeCell ref="G67:H67"/>
  </mergeCells>
  <conditionalFormatting sqref="D11 J11">
    <cfRule type="cellIs" priority="1" dxfId="0" operator="equal" stopIfTrue="1">
      <formula>0</formula>
    </cfRule>
  </conditionalFormatting>
  <printOptions horizontalCentered="1" verticalCentered="1"/>
  <pageMargins left="0.75" right="0.75" top="1" bottom="1" header="0" footer="0"/>
  <pageSetup horizontalDpi="300" verticalDpi="300" orientation="landscape" r:id="rId4"/>
  <headerFooter alignWithMargins="0">
    <oddFooter>&amp;L&amp;D&amp;RPágina 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4:L1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  <col min="2" max="2" width="27.8515625" style="0" customWidth="1"/>
    <col min="3" max="12" width="10.7109375" style="0" customWidth="1"/>
  </cols>
  <sheetData>
    <row r="1" ht="13.5" customHeight="1"/>
    <row r="2" ht="13.5" customHeight="1"/>
    <row r="3" ht="40.5" customHeight="1"/>
    <row r="4" spans="2:10" ht="18">
      <c r="B4" s="9" t="s">
        <v>78</v>
      </c>
      <c r="J4" s="5" t="s">
        <v>42</v>
      </c>
    </row>
    <row r="5" ht="13.5" thickBot="1">
      <c r="J5" s="5" t="s">
        <v>43</v>
      </c>
    </row>
    <row r="6" spans="2:12" ht="13.5" thickBot="1">
      <c r="B6" s="393" t="s">
        <v>79</v>
      </c>
      <c r="C6" s="395" t="s">
        <v>309</v>
      </c>
      <c r="D6" s="396"/>
      <c r="E6" s="396"/>
      <c r="F6" s="396"/>
      <c r="G6" s="397" t="str">
        <f>'EVALUACIÓN PRIVADA'!C36</f>
        <v>Dólares</v>
      </c>
      <c r="H6" s="398"/>
      <c r="I6" s="390" t="s">
        <v>323</v>
      </c>
      <c r="J6" s="391"/>
      <c r="K6" s="392"/>
      <c r="L6" s="393" t="s">
        <v>154</v>
      </c>
    </row>
    <row r="7" spans="2:12" ht="39" thickBot="1">
      <c r="B7" s="394"/>
      <c r="C7" s="106" t="s">
        <v>155</v>
      </c>
      <c r="D7" s="107" t="s">
        <v>156</v>
      </c>
      <c r="E7" s="107" t="s">
        <v>208</v>
      </c>
      <c r="F7" s="107" t="s">
        <v>157</v>
      </c>
      <c r="G7" s="107" t="s">
        <v>134</v>
      </c>
      <c r="H7" s="108" t="s">
        <v>167</v>
      </c>
      <c r="I7" s="107" t="s">
        <v>158</v>
      </c>
      <c r="J7" s="108" t="s">
        <v>80</v>
      </c>
      <c r="K7" s="108" t="s">
        <v>159</v>
      </c>
      <c r="L7" s="394"/>
    </row>
    <row r="8" spans="2:12" ht="15" customHeight="1">
      <c r="B8" s="102" t="s">
        <v>81</v>
      </c>
      <c r="C8" s="87"/>
      <c r="D8" s="87"/>
      <c r="E8" s="87"/>
      <c r="F8" s="87"/>
      <c r="G8" s="87"/>
      <c r="H8" s="101">
        <f aca="true" t="shared" si="0" ref="H8:H13">SUM(C8:G8)</f>
        <v>0</v>
      </c>
      <c r="I8" s="87"/>
      <c r="J8" s="87"/>
      <c r="K8" s="101">
        <f aca="true" t="shared" si="1" ref="K8:K13">SUM(I8:J8)</f>
        <v>0</v>
      </c>
      <c r="L8" s="101">
        <f aca="true" t="shared" si="2" ref="L8:L13">H8+K8</f>
        <v>0</v>
      </c>
    </row>
    <row r="9" spans="2:12" ht="15" customHeight="1">
      <c r="B9" s="103" t="s">
        <v>82</v>
      </c>
      <c r="C9" s="87"/>
      <c r="D9" s="88"/>
      <c r="E9" s="88"/>
      <c r="F9" s="88"/>
      <c r="G9" s="88"/>
      <c r="H9" s="101">
        <f t="shared" si="0"/>
        <v>0</v>
      </c>
      <c r="I9" s="88"/>
      <c r="J9" s="88"/>
      <c r="K9" s="101">
        <f t="shared" si="1"/>
        <v>0</v>
      </c>
      <c r="L9" s="101">
        <f t="shared" si="2"/>
        <v>0</v>
      </c>
    </row>
    <row r="10" spans="2:12" ht="15" customHeight="1">
      <c r="B10" s="103" t="s">
        <v>83</v>
      </c>
      <c r="C10" s="87"/>
      <c r="D10" s="88"/>
      <c r="E10" s="88"/>
      <c r="F10" s="88"/>
      <c r="G10" s="88"/>
      <c r="H10" s="101">
        <f t="shared" si="0"/>
        <v>0</v>
      </c>
      <c r="I10" s="88"/>
      <c r="J10" s="88"/>
      <c r="K10" s="101">
        <f t="shared" si="1"/>
        <v>0</v>
      </c>
      <c r="L10" s="101">
        <f t="shared" si="2"/>
        <v>0</v>
      </c>
    </row>
    <row r="11" spans="2:12" ht="15" customHeight="1">
      <c r="B11" s="103" t="s">
        <v>84</v>
      </c>
      <c r="C11" s="87"/>
      <c r="D11" s="88"/>
      <c r="E11" s="88"/>
      <c r="F11" s="88"/>
      <c r="G11" s="88"/>
      <c r="H11" s="101">
        <f t="shared" si="0"/>
        <v>0</v>
      </c>
      <c r="I11" s="88"/>
      <c r="J11" s="88"/>
      <c r="K11" s="101">
        <f t="shared" si="1"/>
        <v>0</v>
      </c>
      <c r="L11" s="101">
        <f t="shared" si="2"/>
        <v>0</v>
      </c>
    </row>
    <row r="12" spans="2:12" ht="15" customHeight="1">
      <c r="B12" s="103" t="s">
        <v>85</v>
      </c>
      <c r="C12" s="87"/>
      <c r="D12" s="88"/>
      <c r="E12" s="88"/>
      <c r="F12" s="88"/>
      <c r="G12" s="88"/>
      <c r="H12" s="101">
        <f t="shared" si="0"/>
        <v>0</v>
      </c>
      <c r="I12" s="88"/>
      <c r="J12" s="88"/>
      <c r="K12" s="101">
        <f t="shared" si="1"/>
        <v>0</v>
      </c>
      <c r="L12" s="101">
        <f t="shared" si="2"/>
        <v>0</v>
      </c>
    </row>
    <row r="13" spans="2:12" ht="15" customHeight="1" thickBot="1">
      <c r="B13" s="104" t="s">
        <v>86</v>
      </c>
      <c r="C13" s="87"/>
      <c r="D13" s="89"/>
      <c r="E13" s="89"/>
      <c r="F13" s="89"/>
      <c r="G13" s="89"/>
      <c r="H13" s="101">
        <f t="shared" si="0"/>
        <v>0</v>
      </c>
      <c r="I13" s="89"/>
      <c r="J13" s="89"/>
      <c r="K13" s="101">
        <f t="shared" si="1"/>
        <v>0</v>
      </c>
      <c r="L13" s="101">
        <f t="shared" si="2"/>
        <v>0</v>
      </c>
    </row>
    <row r="14" spans="2:12" ht="15" customHeight="1" thickBot="1">
      <c r="B14" s="105" t="s">
        <v>5</v>
      </c>
      <c r="C14" s="101">
        <f aca="true" t="shared" si="3" ref="C14:L14">SUM(C8:C13)</f>
        <v>0</v>
      </c>
      <c r="D14" s="101">
        <f t="shared" si="3"/>
        <v>0</v>
      </c>
      <c r="E14" s="101">
        <f t="shared" si="3"/>
        <v>0</v>
      </c>
      <c r="F14" s="101">
        <f t="shared" si="3"/>
        <v>0</v>
      </c>
      <c r="G14" s="101">
        <f t="shared" si="3"/>
        <v>0</v>
      </c>
      <c r="H14" s="101">
        <f t="shared" si="3"/>
        <v>0</v>
      </c>
      <c r="I14" s="101">
        <f t="shared" si="3"/>
        <v>0</v>
      </c>
      <c r="J14" s="101">
        <f t="shared" si="3"/>
        <v>0</v>
      </c>
      <c r="K14" s="101">
        <f t="shared" si="3"/>
        <v>0</v>
      </c>
      <c r="L14" s="101">
        <f t="shared" si="3"/>
        <v>0</v>
      </c>
    </row>
  </sheetData>
  <sheetProtection sheet="1" objects="1" scenarios="1"/>
  <mergeCells count="5">
    <mergeCell ref="I6:K6"/>
    <mergeCell ref="L6:L7"/>
    <mergeCell ref="B6:B7"/>
    <mergeCell ref="C6:F6"/>
    <mergeCell ref="G6:H6"/>
  </mergeCells>
  <printOptions horizontalCentered="1"/>
  <pageMargins left="0.75" right="0.75" top="1" bottom="1" header="0" footer="0"/>
  <pageSetup fitToHeight="1" fitToWidth="1" horizontalDpi="300" verticalDpi="300" orientation="landscape" scale="91" r:id="rId3"/>
  <headerFooter alignWithMargins="0">
    <oddFooter>&amp;L&amp;D&amp;RPágina &amp;P de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J32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  <col min="2" max="2" width="10.28125" style="0" customWidth="1"/>
    <col min="3" max="3" width="11.8515625" style="0" customWidth="1"/>
    <col min="4" max="5" width="10.28125" style="0" customWidth="1"/>
    <col min="6" max="6" width="4.00390625" style="0" customWidth="1"/>
    <col min="7" max="7" width="10.28125" style="0" customWidth="1"/>
    <col min="8" max="8" width="12.28125" style="0" customWidth="1"/>
    <col min="9" max="10" width="10.28125" style="0" customWidth="1"/>
  </cols>
  <sheetData>
    <row r="1" ht="13.5" customHeight="1">
      <c r="B1" s="128">
        <f>tirp</f>
        <v>0</v>
      </c>
    </row>
    <row r="2" ht="13.5" customHeight="1">
      <c r="B2" s="128">
        <f>tirs</f>
        <v>0</v>
      </c>
    </row>
    <row r="3" ht="40.5" customHeight="1"/>
    <row r="4" ht="20.25">
      <c r="B4" s="8" t="s">
        <v>100</v>
      </c>
    </row>
    <row r="6" ht="15">
      <c r="B6" s="12"/>
    </row>
    <row r="7" spans="2:10" ht="13.5" customHeight="1">
      <c r="B7" s="374" t="s">
        <v>15</v>
      </c>
      <c r="C7" s="374"/>
      <c r="D7" s="374" t="s">
        <v>47</v>
      </c>
      <c r="E7" s="399" t="s">
        <v>44</v>
      </c>
      <c r="G7" s="399" t="s">
        <v>0</v>
      </c>
      <c r="H7" s="399"/>
      <c r="I7" s="399" t="s">
        <v>7</v>
      </c>
      <c r="J7" s="399" t="s">
        <v>206</v>
      </c>
    </row>
    <row r="8" spans="2:10" ht="12.75">
      <c r="B8" s="374"/>
      <c r="C8" s="374"/>
      <c r="D8" s="374"/>
      <c r="E8" s="399"/>
      <c r="G8" s="399"/>
      <c r="H8" s="399"/>
      <c r="I8" s="399"/>
      <c r="J8" s="399"/>
    </row>
    <row r="9" spans="2:10" ht="12.75">
      <c r="B9" s="379" t="s">
        <v>45</v>
      </c>
      <c r="C9" s="379"/>
      <c r="D9" s="137">
        <f>CostosInversion</f>
        <v>0</v>
      </c>
      <c r="E9" s="138">
        <v>1</v>
      </c>
      <c r="G9" s="379" t="s">
        <v>125</v>
      </c>
      <c r="H9" s="379"/>
      <c r="I9" s="132">
        <f>vpcp</f>
        <v>0</v>
      </c>
      <c r="J9" s="139">
        <f>IF(INDICADORES!D8&lt;&gt;0,(Ind11-INDICADORES!D8)/INDICADORES!D8,0)</f>
        <v>0</v>
      </c>
    </row>
    <row r="10" spans="2:10" ht="12.75">
      <c r="B10" s="379" t="s">
        <v>46</v>
      </c>
      <c r="C10" s="379"/>
      <c r="D10" s="137">
        <f>demandacubierta1</f>
        <v>0</v>
      </c>
      <c r="E10" s="138">
        <v>1</v>
      </c>
      <c r="G10" s="379" t="s">
        <v>40</v>
      </c>
      <c r="H10" s="379"/>
      <c r="I10" s="132">
        <f>vanp1</f>
        <v>0</v>
      </c>
      <c r="J10" s="139">
        <f>IF(INDICADORES!D9&lt;&gt;0,(Ind12-INDICADORES!D9)/ABS(INDICADORES!D9),0)</f>
        <v>0</v>
      </c>
    </row>
    <row r="11" spans="2:10" ht="12.75">
      <c r="B11" s="379" t="s">
        <v>99</v>
      </c>
      <c r="C11" s="379"/>
      <c r="D11" s="137">
        <f>usuariosS1</f>
        <v>0</v>
      </c>
      <c r="E11" s="138">
        <v>1</v>
      </c>
      <c r="G11" s="379" t="s">
        <v>41</v>
      </c>
      <c r="H11" s="379"/>
      <c r="I11" s="132">
        <f>caep1</f>
        <v>0</v>
      </c>
      <c r="J11" s="139">
        <f>IF(INDICADORES!D10&lt;&gt;0,(Ind13-INDICADORES!D10)/INDICADORES!D10,0)</f>
        <v>0</v>
      </c>
    </row>
    <row r="12" spans="2:10" ht="12.75">
      <c r="B12" s="379" t="s">
        <v>38</v>
      </c>
      <c r="C12" s="379"/>
      <c r="D12" s="137">
        <f>Potencia</f>
        <v>0</v>
      </c>
      <c r="E12" s="138">
        <v>1</v>
      </c>
      <c r="G12" s="379" t="s">
        <v>192</v>
      </c>
      <c r="H12" s="379"/>
      <c r="I12" s="139">
        <f>IF(ISERROR(Ind14Error),0,Ind14Error)</f>
        <v>0</v>
      </c>
      <c r="J12" s="139">
        <f>IF(INDICADORES!D11&lt;&gt;0,(Ind14-INDICADORES!D11)/ABS(INDICADORES!D11),0)</f>
        <v>0</v>
      </c>
    </row>
    <row r="13" spans="1:10" ht="12.75">
      <c r="A13" s="13"/>
      <c r="B13" s="379" t="s">
        <v>207</v>
      </c>
      <c r="C13" s="379"/>
      <c r="D13" s="137">
        <f>TarifaProporcionada</f>
        <v>0</v>
      </c>
      <c r="E13" s="138">
        <v>1</v>
      </c>
      <c r="G13" s="379" t="s">
        <v>193</v>
      </c>
      <c r="H13" s="379"/>
      <c r="I13" s="132">
        <f>BeneficioCostoPrivado</f>
        <v>0</v>
      </c>
      <c r="J13" s="139">
        <f>IF(INDICADORES!D12&lt;&gt;0,(Ind15-INDICADORES!D12)/INDICADORES!D12,0)</f>
        <v>0</v>
      </c>
    </row>
    <row r="14" spans="2:10" ht="12.75">
      <c r="B14" s="13"/>
      <c r="C14" s="13"/>
      <c r="D14" s="3"/>
      <c r="E14" s="3"/>
      <c r="G14" s="130"/>
      <c r="H14" s="130"/>
      <c r="I14" s="130"/>
      <c r="J14" s="130"/>
    </row>
    <row r="15" spans="7:10" ht="12.75">
      <c r="G15" s="379" t="s">
        <v>98</v>
      </c>
      <c r="H15" s="379"/>
      <c r="I15" s="132">
        <f>vpcs</f>
        <v>0</v>
      </c>
      <c r="J15" s="139">
        <f>IF(INDICADORES!J8&lt;&gt;0,(Ind16-INDICADORES!J8)/INDICADORES!J8,0)</f>
        <v>0</v>
      </c>
    </row>
    <row r="16" spans="7:10" ht="13.5" customHeight="1">
      <c r="G16" s="379" t="s">
        <v>39</v>
      </c>
      <c r="H16" s="379"/>
      <c r="I16" s="132">
        <f>vans1</f>
        <v>0</v>
      </c>
      <c r="J16" s="139">
        <f>IF(INDICADORES!J9&lt;&gt;0,(Ind17-INDICADORES!J9)/ABS(INDICADORES!J9),0)</f>
        <v>0</v>
      </c>
    </row>
    <row r="17" spans="7:10" ht="12.75">
      <c r="G17" s="379" t="s">
        <v>18</v>
      </c>
      <c r="H17" s="379"/>
      <c r="I17" s="132">
        <f>caes1</f>
        <v>0</v>
      </c>
      <c r="J17" s="139">
        <f>IF(INDICADORES!J10&lt;&gt;0,(Ind18-INDICADORES!J10)/INDICADORES!J10,0)</f>
        <v>0</v>
      </c>
    </row>
    <row r="18" spans="7:10" ht="12.75">
      <c r="G18" s="379" t="s">
        <v>194</v>
      </c>
      <c r="H18" s="379"/>
      <c r="I18" s="139">
        <f>IF(ISERROR(Ind19Error),0,Ind19Error)</f>
        <v>0</v>
      </c>
      <c r="J18" s="139">
        <f>IF(INDICADORES!J11&lt;&gt;0,(Ind19-INDICADORES!J11)/ABS(INDICADORES!J11),0)</f>
        <v>0</v>
      </c>
    </row>
    <row r="19" spans="7:10" ht="12.75">
      <c r="G19" s="379" t="s">
        <v>195</v>
      </c>
      <c r="H19" s="379"/>
      <c r="I19" s="132">
        <f>BeneficioCostoSocial</f>
        <v>0</v>
      </c>
      <c r="J19" s="139">
        <f>IF(INDICADORES!J12&lt;&gt;0,(Ind110-INDICADORES!J12)/INDICADORES!J12,0)</f>
        <v>0</v>
      </c>
    </row>
    <row r="20" spans="7:10" ht="12.75">
      <c r="G20" s="130"/>
      <c r="H20" s="130"/>
      <c r="I20" s="130"/>
      <c r="J20" s="130"/>
    </row>
    <row r="21" spans="3:10" ht="18">
      <c r="C21" s="9" t="s">
        <v>324</v>
      </c>
      <c r="G21" s="379" t="s">
        <v>213</v>
      </c>
      <c r="H21" s="379"/>
      <c r="I21" s="132">
        <f>IF(D12&gt;0,(D9*variacionmonto1)/(D12*variacionpotencia1),)</f>
        <v>0</v>
      </c>
      <c r="J21" s="139">
        <f>IF(INDICADORES!D19&lt;&gt;0,(IndCE19-INDICADORES!D19)/INDICADORES!D19,0)</f>
        <v>0</v>
      </c>
    </row>
    <row r="22" spans="7:10" ht="12.75">
      <c r="G22" s="379" t="s">
        <v>210</v>
      </c>
      <c r="H22" s="379"/>
      <c r="I22" s="132">
        <f>IF(D11&gt;0,((CostosGeneracion+CostosMediaTension)*variacionmonto1)/(D11*variacionusuarios1),)</f>
        <v>0</v>
      </c>
      <c r="J22" s="139">
        <f>IF(INDICADORES!D20&lt;&gt;0,(IndCE111-INDICADORES!D20)/INDICADORES!D20,0)</f>
        <v>0</v>
      </c>
    </row>
    <row r="23" spans="7:10" ht="12.75">
      <c r="G23" s="379" t="s">
        <v>301</v>
      </c>
      <c r="H23" s="379"/>
      <c r="I23" s="132">
        <f>IF(D12&gt;0,Ind11/(D12*variacionpotencia1),)</f>
        <v>0</v>
      </c>
      <c r="J23" s="139">
        <f>IF(INDICADORES!D21&lt;&gt;0,(IndCE12-INDICADORES!D21)/INDICADORES!D21,0)</f>
        <v>0</v>
      </c>
    </row>
    <row r="24" spans="7:10" ht="12.75">
      <c r="G24" s="379" t="s">
        <v>129</v>
      </c>
      <c r="H24" s="379"/>
      <c r="I24" s="132">
        <f>cap1</f>
        <v>0</v>
      </c>
      <c r="J24" s="139">
        <f>IF(INDICADORES!D22&lt;&gt;0,(IndCE11-INDICADORES!D22)/INDICADORES!D22,0)</f>
        <v>0</v>
      </c>
    </row>
    <row r="25" spans="7:10" ht="13.5" customHeight="1">
      <c r="G25" s="379" t="s">
        <v>303</v>
      </c>
      <c r="H25" s="379"/>
      <c r="I25" s="132">
        <f>IF(D12&gt;0,Ind16/(D12*variacionpotencia1),)</f>
        <v>0</v>
      </c>
      <c r="J25" s="139">
        <f>IF(INDICADORES!D23&lt;&gt;0,(IndCE15-INDICADORES!D23)/INDICADORES!D23,0)</f>
        <v>0</v>
      </c>
    </row>
    <row r="26" spans="7:10" ht="12.75">
      <c r="G26" s="379" t="s">
        <v>132</v>
      </c>
      <c r="H26" s="379"/>
      <c r="I26" s="132">
        <f>cas1</f>
        <v>0</v>
      </c>
      <c r="J26" s="139">
        <f>IF(INDICADORES!D24&lt;&gt;0,(IndCE14-INDICADORES!D24)/INDICADORES!D24,0)</f>
        <v>0</v>
      </c>
    </row>
    <row r="28" spans="2:10" ht="18">
      <c r="B28" s="9" t="s">
        <v>325</v>
      </c>
      <c r="G28" s="379" t="s">
        <v>242</v>
      </c>
      <c r="H28" s="379"/>
      <c r="I28" s="132">
        <f>IF(KmdeRed&gt;0,CostosMediaTension*variacionmonto1/KmdeRed,)</f>
        <v>0</v>
      </c>
      <c r="J28" s="139">
        <f>IF(INDICADORES!D52&lt;&gt;0,(IndCE17-INDICADORES!D52)/INDICADORES!D52,0)</f>
        <v>0</v>
      </c>
    </row>
    <row r="29" spans="7:10" ht="12.75">
      <c r="G29" s="379" t="s">
        <v>243</v>
      </c>
      <c r="H29" s="379"/>
      <c r="I29" s="132">
        <f>IF(KmdeRed&gt;0,CostosBajaTension*variacionmonto1/KmdeRed,)</f>
        <v>0</v>
      </c>
      <c r="J29" s="139">
        <f>IF(INDICADORES!D53&lt;&gt;0,(IndCE110-INDICADORES!D53)/INDICADORES!D53,0)</f>
        <v>0</v>
      </c>
    </row>
    <row r="30" spans="7:10" ht="12.75">
      <c r="G30" s="379" t="s">
        <v>210</v>
      </c>
      <c r="H30" s="379"/>
      <c r="I30" s="132">
        <f>IF(D11&gt;0,(D9*variacionmonto1)/(D11*variacionusuarios1),)</f>
        <v>0</v>
      </c>
      <c r="J30" s="139">
        <f>IF(INDICADORES!D54&lt;&gt;0,(IndCE18-INDICADORES!D54)/INDICADORES!D54,0)</f>
        <v>0</v>
      </c>
    </row>
    <row r="31" spans="7:10" ht="13.5" customHeight="1">
      <c r="G31" s="379" t="s">
        <v>302</v>
      </c>
      <c r="H31" s="379"/>
      <c r="I31" s="132">
        <f>IF(KmdeRed&gt;0,Ind11/KmdeRed,)</f>
        <v>0</v>
      </c>
      <c r="J31" s="139">
        <f>IF(INDICADORES!D55&lt;&gt;0,(IndCE13-INDICADORES!D55)/INDICADORES!D55,0)</f>
        <v>0</v>
      </c>
    </row>
    <row r="32" spans="7:10" ht="13.5" customHeight="1">
      <c r="G32" s="379" t="s">
        <v>304</v>
      </c>
      <c r="H32" s="379"/>
      <c r="I32" s="132">
        <f>IF(KmdeRed&gt;0,Ind16/KmdeRed,)</f>
        <v>0</v>
      </c>
      <c r="J32" s="139">
        <f>IF(INDICADORES!D56&lt;&gt;0,(IndCE16-INDICADORES!D56)/INDICADORES!D56,0)</f>
        <v>0</v>
      </c>
    </row>
    <row r="33" ht="13.5" customHeight="1"/>
  </sheetData>
  <sheetProtection sheet="1" objects="1" scenarios="1"/>
  <mergeCells count="32">
    <mergeCell ref="I7:I8"/>
    <mergeCell ref="J7:J8"/>
    <mergeCell ref="B7:C8"/>
    <mergeCell ref="E7:E8"/>
    <mergeCell ref="D7:D8"/>
    <mergeCell ref="B9:C9"/>
    <mergeCell ref="B10:C10"/>
    <mergeCell ref="G7:H8"/>
    <mergeCell ref="B13:C13"/>
    <mergeCell ref="G13:H13"/>
    <mergeCell ref="B12:C12"/>
    <mergeCell ref="B11:C11"/>
    <mergeCell ref="G17:H17"/>
    <mergeCell ref="G9:H9"/>
    <mergeCell ref="G10:H10"/>
    <mergeCell ref="G11:H11"/>
    <mergeCell ref="G12:H12"/>
    <mergeCell ref="G16:H16"/>
    <mergeCell ref="G15:H15"/>
    <mergeCell ref="G23:H23"/>
    <mergeCell ref="G32:H32"/>
    <mergeCell ref="G25:H25"/>
    <mergeCell ref="G26:H26"/>
    <mergeCell ref="G31:H31"/>
    <mergeCell ref="G29:H29"/>
    <mergeCell ref="G28:H28"/>
    <mergeCell ref="G30:H30"/>
    <mergeCell ref="G24:H24"/>
    <mergeCell ref="G19:H19"/>
    <mergeCell ref="G21:H21"/>
    <mergeCell ref="G22:H22"/>
    <mergeCell ref="G18:H18"/>
  </mergeCells>
  <printOptions horizontalCentered="1" verticalCentered="1"/>
  <pageMargins left="0.75" right="0.75" top="1" bottom="1" header="0" footer="0"/>
  <pageSetup horizontalDpi="300" verticalDpi="300" orientation="landscape" r:id="rId4"/>
  <headerFooter alignWithMargins="0">
    <oddFooter>&amp;L&amp;D&amp;RPágina &amp;P de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4:G22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</cols>
  <sheetData>
    <row r="1" ht="13.5" customHeight="1"/>
    <row r="2" ht="13.5" customHeight="1"/>
    <row r="3" ht="40.5" customHeight="1"/>
    <row r="4" ht="20.25">
      <c r="B4" s="8" t="s">
        <v>19</v>
      </c>
    </row>
    <row r="5" spans="2:6" ht="18">
      <c r="B5" s="9" t="s">
        <v>20</v>
      </c>
      <c r="F5" s="9" t="s">
        <v>21</v>
      </c>
    </row>
    <row r="6" spans="2:4" ht="18">
      <c r="B6" s="38"/>
      <c r="C6" s="37"/>
      <c r="D6" s="37"/>
    </row>
    <row r="7" spans="2:4" ht="12.75">
      <c r="B7" s="37"/>
      <c r="C7" s="37"/>
      <c r="D7" s="37"/>
    </row>
    <row r="8" spans="2:4" ht="12.75">
      <c r="B8" s="37"/>
      <c r="C8" s="37"/>
      <c r="D8" s="37"/>
    </row>
    <row r="9" spans="2:4" ht="12.75">
      <c r="B9" s="37"/>
      <c r="C9" s="37"/>
      <c r="D9" s="37"/>
    </row>
    <row r="10" spans="2:4" ht="12.75">
      <c r="B10" s="37"/>
      <c r="C10" s="37"/>
      <c r="D10" s="37"/>
    </row>
    <row r="11" spans="2:4" ht="12.75">
      <c r="B11" s="37"/>
      <c r="C11" s="37"/>
      <c r="D11" s="37"/>
    </row>
    <row r="12" spans="2:4" ht="12.75">
      <c r="B12" s="37"/>
      <c r="C12" s="37"/>
      <c r="D12" s="37"/>
    </row>
    <row r="13" spans="2:4" ht="12.75">
      <c r="B13" s="37"/>
      <c r="C13" s="37"/>
      <c r="D13" s="37"/>
    </row>
    <row r="16" spans="2:7" ht="18">
      <c r="B16" s="9" t="s">
        <v>22</v>
      </c>
      <c r="G16" s="9" t="s">
        <v>23</v>
      </c>
    </row>
    <row r="19" ht="18">
      <c r="B19" s="9" t="s">
        <v>24</v>
      </c>
    </row>
    <row r="22" ht="18">
      <c r="B22" s="9" t="s">
        <v>25</v>
      </c>
    </row>
  </sheetData>
  <sheetProtection sheet="1" objects="1" scenarios="1"/>
  <printOptions horizontalCentered="1" verticalCentered="1"/>
  <pageMargins left="0.75" right="0.75" top="1" bottom="1" header="0" footer="0"/>
  <pageSetup horizontalDpi="300" verticalDpi="300" orientation="landscape" r:id="rId3"/>
  <headerFooter alignWithMargins="0">
    <oddFooter>&amp;L&amp;D&amp;RPágina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Electrificación Rural v.BETA</dc:title>
  <dc:subject/>
  <dc:creator>Alberto RAHAL - Alfa-Beta Informática</dc:creator>
  <cp:keywords/>
  <dc:description>Revisión 2.2, diciembre 2006
Jaime Paredes Verástegui, jparedes.bo@gmail.com</dc:description>
  <cp:lastModifiedBy>Jaime Paredes V.</cp:lastModifiedBy>
  <cp:lastPrinted>2000-02-17T20:12:37Z</cp:lastPrinted>
  <dcterms:created xsi:type="dcterms:W3CDTF">1999-11-13T21:44:12Z</dcterms:created>
  <dcterms:modified xsi:type="dcterms:W3CDTF">2008-01-09T14:56:24Z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